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defaultThemeVersion="166925"/>
  <mc:AlternateContent xmlns:mc="http://schemas.openxmlformats.org/markup-compatibility/2006">
    <mc:Choice Requires="x15">
      <x15ac:absPath xmlns:x15ac="http://schemas.microsoft.com/office/spreadsheetml/2010/11/ac" url="P:\05_MEDIENHANDEL\40_Produkte\Reihen_zur_Fortsetzung\Projekte\"/>
    </mc:Choice>
  </mc:AlternateContent>
  <xr:revisionPtr revIDLastSave="0" documentId="13_ncr:1_{A61C5749-EC69-4E8B-87C6-F6BE2C775ACC}" xr6:coauthVersionLast="47" xr6:coauthVersionMax="47" xr10:uidLastSave="{00000000-0000-0000-0000-000000000000}"/>
  <bookViews>
    <workbookView xWindow="-120" yWindow="-120" windowWidth="29040" windowHeight="17520" xr2:uid="{66D8ED69-6A32-4B5A-B6F8-0629FAC85BB7}"/>
  </bookViews>
  <sheets>
    <sheet name="Buch"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6" i="1" l="1"/>
  <c r="I201" i="1"/>
  <c r="I28" i="1"/>
  <c r="I219" i="1"/>
  <c r="I212" i="1"/>
  <c r="I140" i="1"/>
  <c r="I118" i="1"/>
  <c r="I101" i="1"/>
  <c r="I76" i="1"/>
  <c r="I157" i="1"/>
  <c r="I156" i="1"/>
  <c r="I435" i="1"/>
  <c r="I314" i="1"/>
  <c r="I189" i="1"/>
  <c r="I244" i="1"/>
  <c r="I185" i="1"/>
  <c r="I399" i="1"/>
  <c r="I15" i="1"/>
  <c r="I13" i="1"/>
  <c r="I530" i="1"/>
  <c r="I68" i="1"/>
  <c r="I229" i="1"/>
  <c r="I536" i="1"/>
  <c r="I595" i="1"/>
  <c r="I573" i="1"/>
  <c r="I309" i="1"/>
  <c r="I414" i="1"/>
  <c r="I320" i="1"/>
  <c r="I110" i="1" l="1"/>
  <c r="I136" i="1"/>
  <c r="I199" i="1"/>
  <c r="I472" i="1"/>
  <c r="H626" i="1"/>
  <c r="H625" i="1"/>
  <c r="I614" i="1"/>
  <c r="I453" i="1"/>
  <c r="I449" i="1"/>
  <c r="I451" i="1"/>
  <c r="I613" i="1"/>
  <c r="I612" i="1"/>
  <c r="I248" i="1"/>
  <c r="I250" i="1"/>
  <c r="I249" i="1"/>
  <c r="I291" i="1"/>
  <c r="I437" i="1"/>
  <c r="I606" i="1"/>
  <c r="I607" i="1"/>
  <c r="I240" i="1"/>
  <c r="I232" i="1"/>
  <c r="I434" i="1"/>
  <c r="I604" i="1"/>
  <c r="I658" i="1"/>
  <c r="I193" i="1"/>
  <c r="I590" i="1"/>
  <c r="I393" i="1"/>
  <c r="I585" i="1"/>
  <c r="I162" i="1"/>
  <c r="I161" i="1"/>
  <c r="I177" i="1"/>
  <c r="I577" i="1"/>
  <c r="I280" i="1"/>
  <c r="I128" i="1"/>
  <c r="I515" i="1"/>
  <c r="I641" i="1"/>
  <c r="I126" i="1"/>
  <c r="I572" i="1"/>
  <c r="I516" i="1"/>
  <c r="I120" i="1"/>
  <c r="I372" i="1"/>
  <c r="I112" i="1"/>
  <c r="I111" i="1"/>
  <c r="I639" i="1"/>
  <c r="I367" i="1"/>
  <c r="I566" i="1"/>
  <c r="I83" i="1"/>
  <c r="I549" i="1"/>
  <c r="I351" i="1"/>
  <c r="I352" i="1"/>
  <c r="I546" i="1"/>
  <c r="I64" i="1"/>
  <c r="I541" i="1"/>
  <c r="I35" i="1"/>
  <c r="I534" i="1"/>
  <c r="I633" i="1"/>
  <c r="I528" i="1"/>
  <c r="I25" i="1"/>
  <c r="H22" i="1"/>
  <c r="I526" i="1"/>
  <c r="H631" i="1"/>
  <c r="H630" i="1"/>
  <c r="I272" i="1"/>
  <c r="I271" i="1"/>
  <c r="I312" i="1"/>
  <c r="I16" i="1"/>
  <c r="H42" i="1"/>
  <c r="H169" i="1"/>
  <c r="H167" i="1"/>
  <c r="H166" i="1"/>
  <c r="H165" i="1"/>
  <c r="H164" i="1"/>
  <c r="I164" i="1" s="1"/>
  <c r="H163" i="1"/>
  <c r="H160" i="1"/>
  <c r="H159" i="1"/>
  <c r="H158" i="1"/>
  <c r="H155" i="1"/>
  <c r="H154" i="1"/>
  <c r="I154" i="1" s="1"/>
  <c r="I152" i="1"/>
  <c r="I151" i="1"/>
  <c r="H149" i="1"/>
  <c r="H148" i="1"/>
  <c r="H147" i="1"/>
  <c r="I147" i="1" s="1"/>
  <c r="H145" i="1"/>
  <c r="H144" i="1"/>
  <c r="I144" i="1" s="1"/>
  <c r="H143" i="1"/>
  <c r="H142" i="1"/>
  <c r="I142" i="1" s="1"/>
  <c r="H141" i="1"/>
  <c r="H139" i="1"/>
  <c r="H138" i="1"/>
  <c r="H137" i="1"/>
  <c r="H135" i="1"/>
  <c r="I134" i="1"/>
  <c r="H133" i="1"/>
  <c r="H132" i="1"/>
  <c r="I132" i="1" s="1"/>
  <c r="H131" i="1"/>
  <c r="H130" i="1"/>
  <c r="H129" i="1"/>
  <c r="H127" i="1"/>
  <c r="H125" i="1"/>
  <c r="H124" i="1"/>
  <c r="I124" i="1" s="1"/>
  <c r="H123" i="1"/>
  <c r="H121" i="1"/>
  <c r="H117" i="1"/>
  <c r="H115" i="1"/>
  <c r="H114" i="1"/>
  <c r="H113" i="1"/>
  <c r="I113" i="1" s="1"/>
  <c r="H108" i="1"/>
  <c r="H107" i="1"/>
  <c r="H106" i="1"/>
  <c r="H104" i="1"/>
  <c r="I104" i="1" s="1"/>
  <c r="H103" i="1"/>
  <c r="I103" i="1" s="1"/>
  <c r="H102" i="1"/>
  <c r="H100" i="1"/>
  <c r="H99" i="1"/>
  <c r="H98" i="1"/>
  <c r="H96" i="1"/>
  <c r="H93" i="1"/>
  <c r="H92" i="1"/>
  <c r="I92" i="1" s="1"/>
  <c r="H91" i="1"/>
  <c r="I91" i="1" s="1"/>
  <c r="H90" i="1"/>
  <c r="H89" i="1"/>
  <c r="H88" i="1"/>
  <c r="H87" i="1"/>
  <c r="I87" i="1" s="1"/>
  <c r="H86" i="1"/>
  <c r="H84" i="1"/>
  <c r="H82" i="1"/>
  <c r="I82" i="1" s="1"/>
  <c r="H81" i="1"/>
  <c r="I81" i="1" s="1"/>
  <c r="H77" i="1"/>
  <c r="I77" i="1" s="1"/>
  <c r="H73" i="1"/>
  <c r="H71" i="1"/>
  <c r="I71" i="1" s="1"/>
  <c r="H70" i="1"/>
  <c r="H69" i="1"/>
  <c r="H67" i="1"/>
  <c r="H66" i="1"/>
  <c r="H65" i="1"/>
  <c r="H63" i="1"/>
  <c r="H62" i="1"/>
  <c r="H60" i="1"/>
  <c r="H59" i="1"/>
  <c r="H58" i="1"/>
  <c r="H57" i="1"/>
  <c r="I57" i="1" s="1"/>
  <c r="H56" i="1"/>
  <c r="H54" i="1"/>
  <c r="I54" i="1" s="1"/>
  <c r="H53" i="1"/>
  <c r="H52" i="1"/>
  <c r="H50" i="1"/>
  <c r="H49" i="1"/>
  <c r="H48" i="1"/>
  <c r="I48" i="1" s="1"/>
  <c r="H46" i="1"/>
  <c r="H44" i="1"/>
  <c r="I44" i="1" s="1"/>
  <c r="H41" i="1"/>
  <c r="H40" i="1"/>
  <c r="H39" i="1"/>
  <c r="H38" i="1"/>
  <c r="H37" i="1"/>
  <c r="H36" i="1"/>
  <c r="H34" i="1"/>
  <c r="I34" i="1" s="1"/>
  <c r="H33" i="1"/>
  <c r="I33" i="1" s="1"/>
  <c r="H32" i="1"/>
  <c r="H30" i="1"/>
  <c r="H29" i="1"/>
  <c r="H27" i="1"/>
  <c r="H26" i="1"/>
  <c r="I26" i="1" s="1"/>
  <c r="I24" i="1"/>
  <c r="H21" i="1"/>
  <c r="I17" i="1"/>
  <c r="H14" i="1"/>
  <c r="H12" i="1"/>
  <c r="I642" i="1"/>
  <c r="I645" i="1"/>
  <c r="I553" i="1"/>
  <c r="I615" i="1"/>
  <c r="I602" i="1"/>
  <c r="I600" i="1"/>
  <c r="I601" i="1"/>
  <c r="I598" i="1"/>
  <c r="I593" i="1"/>
  <c r="I588" i="1"/>
  <c r="I589" i="1"/>
  <c r="I582" i="1"/>
  <c r="I583" i="1"/>
  <c r="I584" i="1"/>
  <c r="I586" i="1"/>
  <c r="I578" i="1"/>
  <c r="I574" i="1"/>
  <c r="I575" i="1"/>
  <c r="I576" i="1"/>
  <c r="I571" i="1"/>
  <c r="I568" i="1"/>
  <c r="I569" i="1"/>
  <c r="I561" i="1"/>
  <c r="I562" i="1"/>
  <c r="I556" i="1"/>
  <c r="I557" i="1"/>
  <c r="I554" i="1"/>
  <c r="I550" i="1"/>
  <c r="I544" i="1"/>
  <c r="I545" i="1"/>
  <c r="I540" i="1"/>
  <c r="I531" i="1"/>
  <c r="I532" i="1"/>
  <c r="I533" i="1"/>
  <c r="I535" i="1"/>
  <c r="I527" i="1"/>
  <c r="I506" i="1"/>
  <c r="I505" i="1"/>
  <c r="I501" i="1"/>
  <c r="I502" i="1"/>
  <c r="I517" i="1"/>
  <c r="I492" i="1"/>
  <c r="I486" i="1"/>
  <c r="I450" i="1"/>
  <c r="I425" i="1"/>
  <c r="I426" i="1"/>
  <c r="I427" i="1"/>
  <c r="I411" i="1"/>
  <c r="I403" i="1"/>
  <c r="I404" i="1"/>
  <c r="I400" i="1"/>
  <c r="I398" i="1"/>
  <c r="I469" i="1"/>
  <c r="I386" i="1"/>
  <c r="I384" i="1"/>
  <c r="I385" i="1"/>
  <c r="I382" i="1"/>
  <c r="I378" i="1"/>
  <c r="I376" i="1"/>
  <c r="I466" i="1"/>
  <c r="I365" i="1"/>
  <c r="I366" i="1"/>
  <c r="I361" i="1"/>
  <c r="I357" i="1"/>
  <c r="I353" i="1"/>
  <c r="I346" i="1"/>
  <c r="I347" i="1"/>
  <c r="I340" i="1"/>
  <c r="I341" i="1"/>
  <c r="I342" i="1"/>
  <c r="I343" i="1"/>
  <c r="I332" i="1"/>
  <c r="I329" i="1"/>
  <c r="I327" i="1"/>
  <c r="I325" i="1"/>
  <c r="I322" i="1"/>
  <c r="I318" i="1"/>
  <c r="I316" i="1"/>
  <c r="I263" i="1"/>
  <c r="I261" i="1"/>
  <c r="I256" i="1"/>
  <c r="I243" i="1"/>
  <c r="I218" i="1"/>
  <c r="I211" i="1"/>
  <c r="I209" i="1"/>
  <c r="I205" i="1"/>
  <c r="I206" i="1"/>
  <c r="I204" i="1"/>
  <c r="I197" i="1"/>
  <c r="I198" i="1"/>
  <c r="I195" i="1"/>
  <c r="I283" i="1"/>
  <c r="I186" i="1"/>
  <c r="I184" i="1"/>
  <c r="I179" i="1"/>
  <c r="I168" i="1"/>
  <c r="I97" i="1"/>
  <c r="I79" i="1"/>
  <c r="I72" i="1"/>
  <c r="I51" i="1"/>
  <c r="I47" i="1"/>
  <c r="I43" i="1"/>
  <c r="I31" i="1"/>
  <c r="I18" i="1"/>
  <c r="I19" i="1"/>
  <c r="I609" i="1"/>
  <c r="H537" i="1"/>
  <c r="I537" i="1" s="1"/>
  <c r="I558" i="1"/>
  <c r="H538" i="1"/>
  <c r="I538" i="1" s="1"/>
  <c r="H428" i="1"/>
  <c r="I428" i="1" s="1"/>
  <c r="H413" i="1"/>
  <c r="I413" i="1" s="1"/>
  <c r="H315" i="1"/>
  <c r="I315" i="1" s="1"/>
  <c r="H416" i="1"/>
  <c r="I416" i="1" s="1"/>
  <c r="H239" i="1"/>
  <c r="I239" i="1" s="1"/>
  <c r="H226" i="1"/>
  <c r="I226" i="1" s="1"/>
  <c r="H441" i="1"/>
  <c r="I441" i="1" s="1"/>
  <c r="I317" i="1"/>
  <c r="H410" i="1"/>
  <c r="I410" i="1" s="1"/>
  <c r="H262" i="1"/>
  <c r="I262" i="1" s="1"/>
  <c r="H254" i="1"/>
  <c r="I254" i="1" s="1"/>
  <c r="I251" i="1"/>
  <c r="I237" i="1"/>
  <c r="I233" i="1"/>
  <c r="H221" i="1"/>
  <c r="I221" i="1" s="1"/>
  <c r="I611" i="1"/>
  <c r="I548" i="1"/>
  <c r="H485" i="1"/>
  <c r="I485" i="1" s="1"/>
  <c r="H498" i="1"/>
  <c r="I498" i="1" s="1"/>
  <c r="H438" i="1"/>
  <c r="I438" i="1" s="1"/>
  <c r="I383" i="1"/>
  <c r="H374" i="1"/>
  <c r="I374" i="1" s="1"/>
  <c r="H242" i="1"/>
  <c r="I242" i="1" s="1"/>
  <c r="H257" i="1"/>
  <c r="I257" i="1" s="1"/>
  <c r="H246" i="1"/>
  <c r="I246" i="1" s="1"/>
  <c r="I245" i="1"/>
  <c r="H671" i="1" l="1"/>
  <c r="H670" i="1"/>
  <c r="H669" i="1"/>
  <c r="H667" i="1"/>
  <c r="H666" i="1"/>
  <c r="H665" i="1"/>
  <c r="H662" i="1"/>
  <c r="H660" i="1"/>
  <c r="H659" i="1"/>
  <c r="H657" i="1"/>
  <c r="H656" i="1"/>
  <c r="H652" i="1"/>
  <c r="H651" i="1"/>
  <c r="H649" i="1"/>
  <c r="H648" i="1"/>
  <c r="H646" i="1"/>
  <c r="H640" i="1"/>
  <c r="H634" i="1"/>
  <c r="H628" i="1"/>
  <c r="H624" i="1" l="1"/>
  <c r="H623" i="1"/>
  <c r="H622" i="1"/>
  <c r="H605" i="1"/>
  <c r="H599" i="1"/>
  <c r="H597" i="1"/>
  <c r="H596" i="1"/>
  <c r="H594" i="1"/>
  <c r="H591" i="1"/>
  <c r="H579" i="1"/>
  <c r="H567" i="1"/>
  <c r="H564" i="1"/>
  <c r="H552" i="1"/>
  <c r="H547" i="1" l="1"/>
  <c r="H543" i="1"/>
  <c r="H539" i="1"/>
  <c r="H519" i="1"/>
  <c r="H518" i="1"/>
  <c r="H513" i="1"/>
  <c r="H504" i="1"/>
  <c r="H500" i="1"/>
  <c r="H499" i="1"/>
  <c r="H495" i="1"/>
  <c r="H490" i="1"/>
  <c r="H489" i="1"/>
  <c r="H479" i="1" l="1"/>
  <c r="H476" i="1"/>
  <c r="H475" i="1"/>
  <c r="H474" i="1"/>
  <c r="H473" i="1"/>
  <c r="H471" i="1"/>
  <c r="H470" i="1"/>
  <c r="H467" i="1"/>
  <c r="H465" i="1"/>
  <c r="H461" i="1"/>
  <c r="H455" i="1"/>
  <c r="H454" i="1"/>
  <c r="H447" i="1"/>
  <c r="H446" i="1"/>
  <c r="H445" i="1"/>
  <c r="H444" i="1"/>
  <c r="H440" i="1"/>
  <c r="H439" i="1"/>
  <c r="H436" i="1"/>
  <c r="H433" i="1"/>
  <c r="H421" i="1"/>
  <c r="H420" i="1"/>
  <c r="H419" i="1"/>
  <c r="H418" i="1"/>
  <c r="H417" i="1"/>
  <c r="H412" i="1"/>
  <c r="I412" i="1" s="1"/>
  <c r="H409" i="1" l="1"/>
  <c r="I409" i="1" s="1"/>
  <c r="H408" i="1"/>
  <c r="H407" i="1"/>
  <c r="I407" i="1" s="1"/>
  <c r="H405" i="1"/>
  <c r="H402" i="1"/>
  <c r="H395" i="1"/>
  <c r="H380" i="1"/>
  <c r="H379" i="1"/>
  <c r="H377" i="1"/>
  <c r="H371" i="1"/>
  <c r="H368" i="1"/>
  <c r="H364" i="1"/>
  <c r="H363" i="1"/>
  <c r="H362" i="1"/>
  <c r="H359" i="1"/>
  <c r="H358" i="1"/>
  <c r="H356" i="1"/>
  <c r="H348" i="1"/>
  <c r="H345" i="1"/>
  <c r="I61" i="1"/>
  <c r="H336" i="1"/>
  <c r="H330" i="1"/>
  <c r="H319" i="1"/>
  <c r="H313" i="1" l="1"/>
  <c r="H311" i="1"/>
  <c r="H303" i="1"/>
  <c r="H301" i="1"/>
  <c r="H300" i="1"/>
  <c r="H299" i="1"/>
  <c r="H298" i="1"/>
  <c r="H297" i="1"/>
  <c r="H295" i="1"/>
  <c r="H294" i="1"/>
  <c r="H292" i="1"/>
  <c r="H290" i="1"/>
  <c r="H288" i="1"/>
  <c r="H286" i="1"/>
  <c r="H285" i="1"/>
  <c r="H284" i="1"/>
  <c r="H282" i="1"/>
  <c r="H281" i="1"/>
  <c r="H277" i="1"/>
  <c r="H276" i="1"/>
  <c r="H274" i="1"/>
  <c r="H260" i="1" l="1"/>
  <c r="I260" i="1" s="1"/>
  <c r="H259" i="1"/>
  <c r="H255" i="1"/>
  <c r="H253" i="1"/>
  <c r="H252" i="1"/>
  <c r="H241" i="1" l="1"/>
  <c r="H238" i="1"/>
  <c r="H231" i="1"/>
  <c r="H230" i="1"/>
  <c r="H224" i="1"/>
  <c r="H223" i="1"/>
  <c r="H222" i="1"/>
  <c r="H220" i="1"/>
  <c r="H217" i="1"/>
  <c r="H216" i="1"/>
  <c r="H215" i="1"/>
  <c r="H210" i="1"/>
  <c r="H208" i="1"/>
  <c r="H207" i="1"/>
  <c r="H203" i="1"/>
  <c r="H202" i="1"/>
  <c r="H200" i="1"/>
  <c r="H196" i="1"/>
  <c r="H190" i="1"/>
  <c r="H180" i="1"/>
  <c r="H176" i="1"/>
  <c r="H175" i="1"/>
  <c r="H173" i="1"/>
  <c r="H171" i="1"/>
  <c r="H170" i="1"/>
  <c r="H146" i="1"/>
  <c r="H116" i="1" l="1"/>
  <c r="H275" i="1"/>
  <c r="I275" i="1" s="1"/>
  <c r="I102" i="1"/>
  <c r="I14" i="1" l="1"/>
  <c r="I587" i="1"/>
  <c r="I551" i="1"/>
  <c r="I560" i="1"/>
  <c r="I543" i="1"/>
  <c r="I579" i="1"/>
  <c r="I547" i="1"/>
  <c r="I599" i="1"/>
  <c r="I542" i="1"/>
  <c r="I418" i="1"/>
  <c r="I358" i="1"/>
  <c r="I391" i="1"/>
  <c r="I473" i="1"/>
  <c r="I319" i="1"/>
  <c r="I476" i="1"/>
  <c r="I447" i="1"/>
  <c r="I227" i="1"/>
  <c r="I65" i="1"/>
  <c r="I273" i="1"/>
  <c r="I67" i="1"/>
  <c r="I277" i="1"/>
  <c r="I119" i="1"/>
  <c r="I253" i="1"/>
  <c r="I274" i="1"/>
  <c r="I475" i="1"/>
  <c r="I605" i="1"/>
  <c r="I603" i="1"/>
  <c r="I570" i="1"/>
  <c r="I552" i="1"/>
  <c r="I539" i="1"/>
  <c r="I525" i="1"/>
  <c r="H430" i="1"/>
  <c r="I430" i="1" s="1"/>
  <c r="H429" i="1"/>
  <c r="I419" i="1"/>
  <c r="I415" i="1"/>
  <c r="H406" i="1"/>
  <c r="I406" i="1" s="1"/>
  <c r="H375" i="1"/>
  <c r="I373" i="1"/>
  <c r="H370" i="1"/>
  <c r="I370" i="1" s="1"/>
  <c r="H360" i="1"/>
  <c r="H355" i="1"/>
  <c r="I355" i="1" s="1"/>
  <c r="H338" i="1"/>
  <c r="I323" i="1"/>
  <c r="H247" i="1"/>
  <c r="I247" i="1" s="1"/>
  <c r="I289" i="1"/>
  <c r="I288" i="1"/>
  <c r="I187" i="1"/>
  <c r="I183" i="1"/>
  <c r="I150" i="1"/>
  <c r="I107" i="1"/>
  <c r="I98" i="1"/>
  <c r="I93" i="1"/>
  <c r="I89" i="1"/>
  <c r="I39" i="1"/>
  <c r="I27" i="1"/>
  <c r="H493" i="1"/>
  <c r="H491" i="1"/>
  <c r="H339" i="1"/>
  <c r="H337" i="1"/>
  <c r="H335" i="1"/>
  <c r="H334" i="1"/>
  <c r="H333" i="1"/>
  <c r="H331" i="1" l="1"/>
  <c r="I55" i="1"/>
  <c r="H328" i="1" l="1"/>
  <c r="H326" i="1"/>
  <c r="H324" i="1"/>
  <c r="H529" i="1" l="1"/>
  <c r="I652" i="1" l="1"/>
  <c r="H270" i="1" l="1"/>
  <c r="H310" i="1"/>
  <c r="I429" i="1" l="1"/>
  <c r="I394" i="1"/>
  <c r="I388" i="1"/>
  <c r="I375" i="1"/>
  <c r="I360" i="1"/>
  <c r="I338" i="1"/>
  <c r="I228" i="1"/>
  <c r="I125" i="1"/>
  <c r="I95" i="1"/>
  <c r="I62" i="1"/>
  <c r="I295" i="1"/>
  <c r="I497" i="1" l="1"/>
  <c r="I377" i="1"/>
  <c r="I301" i="1" l="1"/>
  <c r="I90" i="1"/>
  <c r="I202" i="1"/>
  <c r="I138" i="1"/>
  <c r="I127" i="1"/>
  <c r="I32" i="1"/>
  <c r="I58" i="1"/>
  <c r="I63" i="1"/>
  <c r="I100" i="1"/>
  <c r="I255" i="1"/>
  <c r="I214" i="1"/>
  <c r="I259" i="1"/>
  <c r="I667" i="1"/>
  <c r="I503" i="1"/>
  <c r="I489" i="1"/>
  <c r="I436" i="1"/>
  <c r="I390" i="1"/>
  <c r="I396" i="1"/>
  <c r="I348" i="1"/>
  <c r="I321" i="1"/>
  <c r="I326" i="1"/>
  <c r="I381" i="1"/>
  <c r="I471" i="1"/>
  <c r="I279" i="1"/>
  <c r="I298" i="1"/>
  <c r="I52" i="1"/>
  <c r="I53" i="1"/>
  <c r="I194" i="1"/>
  <c r="I207" i="1"/>
  <c r="I454" i="1"/>
  <c r="I455" i="1"/>
  <c r="I634" i="1"/>
  <c r="I610" i="1"/>
  <c r="I608" i="1"/>
  <c r="I596" i="1"/>
  <c r="I592" i="1"/>
  <c r="I581" i="1"/>
  <c r="I567" i="1"/>
  <c r="I559" i="1"/>
  <c r="I555" i="1"/>
  <c r="I529" i="1"/>
  <c r="I519" i="1" l="1"/>
  <c r="I518" i="1"/>
  <c r="I500" i="1"/>
  <c r="I495" i="1"/>
  <c r="I446" i="1"/>
  <c r="I439" i="1"/>
  <c r="I433" i="1"/>
  <c r="I431" i="1"/>
  <c r="I369" i="1"/>
  <c r="I368" i="1"/>
  <c r="I303" i="1"/>
  <c r="I290" i="1"/>
  <c r="I234" i="1"/>
  <c r="I224" i="1"/>
  <c r="I182" i="1"/>
  <c r="I181" i="1"/>
  <c r="I160" i="1"/>
  <c r="I146" i="1"/>
  <c r="I122" i="1"/>
  <c r="I121" i="1"/>
  <c r="I115" i="1"/>
  <c r="I88" i="1"/>
  <c r="I85" i="1"/>
  <c r="I73" i="1"/>
  <c r="I59" i="1"/>
  <c r="I493" i="1" l="1"/>
  <c r="I424" i="1"/>
  <c r="I448" i="1"/>
  <c r="I297" i="1"/>
  <c r="I631" i="1"/>
  <c r="I670" i="1"/>
  <c r="I622" i="1"/>
  <c r="I395" i="1"/>
  <c r="I328" i="1"/>
  <c r="I420" i="1"/>
  <c r="I313" i="1"/>
  <c r="I402" i="1"/>
  <c r="I123" i="1"/>
  <c r="I139" i="1"/>
  <c r="I163" i="1"/>
  <c r="I196" i="1"/>
  <c r="I131" i="1"/>
  <c r="I417" i="1"/>
  <c r="I331" i="1"/>
  <c r="I597" i="1"/>
  <c r="I563" i="1"/>
  <c r="I292" i="1"/>
  <c r="I490" i="1"/>
  <c r="I345" i="1"/>
  <c r="I421" i="1"/>
  <c r="I143" i="1"/>
  <c r="I60" i="1" l="1"/>
  <c r="I387" i="1" l="1"/>
  <c r="I364" i="1"/>
  <c r="I363" i="1"/>
  <c r="I463" i="1"/>
  <c r="I334" i="1"/>
  <c r="I180" i="1"/>
  <c r="I50" i="1"/>
  <c r="I106" i="1"/>
  <c r="I200" i="1"/>
  <c r="I12" i="1" l="1"/>
  <c r="I20" i="1"/>
  <c r="I21" i="1"/>
  <c r="I22" i="1"/>
  <c r="I23" i="1"/>
  <c r="I29" i="1"/>
  <c r="I30" i="1"/>
  <c r="I36" i="1"/>
  <c r="I37" i="1"/>
  <c r="I38" i="1"/>
  <c r="I40" i="1"/>
  <c r="I41" i="1"/>
  <c r="I42" i="1"/>
  <c r="I45" i="1"/>
  <c r="I46" i="1"/>
  <c r="I49" i="1"/>
  <c r="I56" i="1"/>
  <c r="I66" i="1"/>
  <c r="I69" i="1"/>
  <c r="I70" i="1"/>
  <c r="I74" i="1"/>
  <c r="I75" i="1"/>
  <c r="I78" i="1"/>
  <c r="I80" i="1"/>
  <c r="I84" i="1"/>
  <c r="I86" i="1"/>
  <c r="I94" i="1"/>
  <c r="I96" i="1"/>
  <c r="I99" i="1"/>
  <c r="I105" i="1"/>
  <c r="I108" i="1"/>
  <c r="I109" i="1"/>
  <c r="I114" i="1"/>
  <c r="I116" i="1"/>
  <c r="I117" i="1"/>
  <c r="I129" i="1"/>
  <c r="I130" i="1"/>
  <c r="I133" i="1"/>
  <c r="I135" i="1"/>
  <c r="I137" i="1"/>
  <c r="I141" i="1"/>
  <c r="I145" i="1"/>
  <c r="I148" i="1"/>
  <c r="I149" i="1"/>
  <c r="I153" i="1"/>
  <c r="I155" i="1"/>
  <c r="I158" i="1"/>
  <c r="I159" i="1"/>
  <c r="I165" i="1"/>
  <c r="I169" i="1"/>
  <c r="I166" i="1"/>
  <c r="I167" i="1"/>
  <c r="I170" i="1"/>
  <c r="I171" i="1"/>
  <c r="I172" i="1"/>
  <c r="I173" i="1"/>
  <c r="I174" i="1"/>
  <c r="I175" i="1"/>
  <c r="I176" i="1"/>
  <c r="I178" i="1"/>
  <c r="I188" i="1"/>
  <c r="I190" i="1"/>
  <c r="I191" i="1"/>
  <c r="I192" i="1"/>
  <c r="I203" i="1"/>
  <c r="I208" i="1"/>
  <c r="I210" i="1"/>
  <c r="I213" i="1"/>
  <c r="I215" i="1"/>
  <c r="I216" i="1"/>
  <c r="I217" i="1"/>
  <c r="I220" i="1"/>
  <c r="I222" i="1"/>
  <c r="I223" i="1"/>
  <c r="I225" i="1"/>
  <c r="I230" i="1"/>
  <c r="I231" i="1"/>
  <c r="I235" i="1"/>
  <c r="I236" i="1"/>
  <c r="I238" i="1"/>
  <c r="I241" i="1"/>
  <c r="I252" i="1"/>
  <c r="I258" i="1"/>
  <c r="I270" i="1"/>
  <c r="I276" i="1"/>
  <c r="I278" i="1"/>
  <c r="I282" i="1"/>
  <c r="I284" i="1"/>
  <c r="I285" i="1"/>
  <c r="I281" i="1"/>
  <c r="I286" i="1"/>
  <c r="I287" i="1"/>
  <c r="I477" i="1"/>
  <c r="I293" i="1"/>
  <c r="I294" i="1"/>
  <c r="I299" i="1"/>
  <c r="I300" i="1"/>
  <c r="I302" i="1"/>
  <c r="I310" i="1"/>
  <c r="I311" i="1"/>
  <c r="I324" i="1"/>
  <c r="I330" i="1"/>
  <c r="I333" i="1"/>
  <c r="I335" i="1"/>
  <c r="I336" i="1"/>
  <c r="I337" i="1"/>
  <c r="I339" i="1"/>
  <c r="I344" i="1"/>
  <c r="I349" i="1"/>
  <c r="I350" i="1"/>
  <c r="I354" i="1"/>
  <c r="I356" i="1"/>
  <c r="I359" i="1"/>
  <c r="I362" i="1"/>
  <c r="I371" i="1"/>
  <c r="I379" i="1"/>
  <c r="I380" i="1"/>
  <c r="I389" i="1"/>
  <c r="I392" i="1"/>
  <c r="I397" i="1"/>
  <c r="I401" i="1"/>
  <c r="I405" i="1"/>
  <c r="I408" i="1"/>
  <c r="I422" i="1"/>
  <c r="I423" i="1"/>
  <c r="I432" i="1"/>
  <c r="I440" i="1"/>
  <c r="I442" i="1"/>
  <c r="I443" i="1"/>
  <c r="I444" i="1"/>
  <c r="I445" i="1"/>
  <c r="I452" i="1"/>
  <c r="I461" i="1"/>
  <c r="I462" i="1"/>
  <c r="I464" i="1"/>
  <c r="I465" i="1"/>
  <c r="I467" i="1"/>
  <c r="I468" i="1"/>
  <c r="I470" i="1"/>
  <c r="I474" i="1"/>
  <c r="I478" i="1"/>
  <c r="I479" i="1"/>
  <c r="I487" i="1"/>
  <c r="I488" i="1"/>
  <c r="I491" i="1"/>
  <c r="I494" i="1"/>
  <c r="I496" i="1"/>
  <c r="I499" i="1"/>
  <c r="I504" i="1"/>
  <c r="I513" i="1"/>
  <c r="I514" i="1"/>
  <c r="I591" i="1"/>
  <c r="I564" i="1"/>
  <c r="I565" i="1"/>
  <c r="I580" i="1"/>
  <c r="I594" i="1"/>
  <c r="I623" i="1"/>
  <c r="I627" i="1"/>
  <c r="I624" i="1"/>
  <c r="I625" i="1"/>
  <c r="I626" i="1"/>
  <c r="I628" i="1"/>
  <c r="I629" i="1"/>
  <c r="I630" i="1"/>
  <c r="I632" i="1"/>
  <c r="I635" i="1"/>
  <c r="I636" i="1"/>
  <c r="I637" i="1"/>
  <c r="I638" i="1"/>
  <c r="I640" i="1"/>
  <c r="I643" i="1"/>
  <c r="I644" i="1"/>
  <c r="I646" i="1"/>
  <c r="I647" i="1"/>
  <c r="I648" i="1"/>
  <c r="I649" i="1"/>
  <c r="I650" i="1"/>
  <c r="I651" i="1"/>
  <c r="I653" i="1"/>
  <c r="I654" i="1"/>
  <c r="I655" i="1"/>
  <c r="I656" i="1"/>
  <c r="I657" i="1"/>
  <c r="I659" i="1"/>
  <c r="I660" i="1"/>
  <c r="I661" i="1"/>
  <c r="I662" i="1"/>
  <c r="I663" i="1"/>
  <c r="I664" i="1"/>
  <c r="I665" i="1"/>
  <c r="I666" i="1"/>
  <c r="I668" i="1"/>
  <c r="I669" i="1"/>
  <c r="I671" i="1"/>
  <c r="I672" i="1"/>
  <c r="I673" i="1"/>
  <c r="I674" i="1"/>
  <c r="I457" i="1" l="1"/>
  <c r="I265" i="1"/>
  <c r="I617" i="1"/>
  <c r="I508" i="1"/>
  <c r="I521" i="1"/>
  <c r="I676" i="1"/>
  <c r="I481" i="1"/>
  <c r="I305" i="1"/>
  <c r="K5" i="1" l="1"/>
</calcChain>
</file>

<file path=xl/sharedStrings.xml><?xml version="1.0" encoding="utf-8"?>
<sst xmlns="http://schemas.openxmlformats.org/spreadsheetml/2006/main" count="1885" uniqueCount="1066">
  <si>
    <t xml:space="preserve">Kundennummer: </t>
  </si>
  <si>
    <t>Total pro Jahr in CHF (exkl. Aufarbeitung)</t>
  </si>
  <si>
    <t xml:space="preserve">Bibliothek / Name, Vorname/e-Mail: </t>
  </si>
  <si>
    <t xml:space="preserve">     : auch als Hörbuch erhältlich</t>
  </si>
  <si>
    <r>
      <t xml:space="preserve">Bitte schicken Sie die ausgefüllte Liste an: </t>
    </r>
    <r>
      <rPr>
        <b/>
        <sz val="8"/>
        <rFont val="Vectora LT Roman"/>
      </rPr>
      <t>medien@sbd.ch</t>
    </r>
  </si>
  <si>
    <t>Anzahl</t>
  </si>
  <si>
    <t>Reihentitel</t>
  </si>
  <si>
    <t>Verlag</t>
  </si>
  <si>
    <t>SBD 
Reihen-
Nummer</t>
  </si>
  <si>
    <t>Stoffkreise</t>
  </si>
  <si>
    <t>ca. Anzahl
Titel pro Jahr</t>
  </si>
  <si>
    <t>ca. Preis pro Jahr
in CHF</t>
  </si>
  <si>
    <t>Alle bereits erschienenen Bände nachliefern</t>
  </si>
  <si>
    <t>Ab welchem Band liefern</t>
  </si>
  <si>
    <t>Tessloff</t>
  </si>
  <si>
    <t>Ravensburger</t>
  </si>
  <si>
    <t>7 Minuten-Geschichten zum Lesenlernen</t>
  </si>
  <si>
    <t>Loewe</t>
  </si>
  <si>
    <t>Erstes Lesealter</t>
  </si>
  <si>
    <t>Oetinger</t>
  </si>
  <si>
    <t>Tier Pony</t>
  </si>
  <si>
    <t>Lustiges</t>
  </si>
  <si>
    <t>Boje</t>
  </si>
  <si>
    <t>Fabelwesen</t>
  </si>
  <si>
    <t>Beast Quest</t>
  </si>
  <si>
    <t>Fantasy</t>
  </si>
  <si>
    <t>Harper Collins</t>
  </si>
  <si>
    <t>Bibi &amp; Tina (Leseanfänger)</t>
  </si>
  <si>
    <t>Klett Lerntraining</t>
  </si>
  <si>
    <t>Bildermaus</t>
  </si>
  <si>
    <t xml:space="preserve">Bitte nicht öffnen </t>
  </si>
  <si>
    <t>Carlsen</t>
  </si>
  <si>
    <t>Baumhaus</t>
  </si>
  <si>
    <t>Abenteuer</t>
  </si>
  <si>
    <t>Kosmos</t>
  </si>
  <si>
    <t>Edel Distribution</t>
  </si>
  <si>
    <t>Das kleine böse Buch</t>
  </si>
  <si>
    <t>Ueberreuter</t>
  </si>
  <si>
    <t>Ars Edition</t>
  </si>
  <si>
    <t>Egmont Schneiderbuch</t>
  </si>
  <si>
    <t>Das magische Baumhaus</t>
  </si>
  <si>
    <t>Das musikalische Bilderbuch</t>
  </si>
  <si>
    <t>Bilderbuch ; Musik</t>
  </si>
  <si>
    <t>Südpol Verlag</t>
  </si>
  <si>
    <t>Der Bücherbär. 1. Klasse</t>
  </si>
  <si>
    <t>Arena Verlag</t>
  </si>
  <si>
    <t>Der Bücherbär. Vorschule</t>
  </si>
  <si>
    <t>Der kleine Drache Kokosnuss</t>
  </si>
  <si>
    <t>cbj</t>
  </si>
  <si>
    <t>Der kleine Drache Kokosnuss (Bilderbuch)</t>
  </si>
  <si>
    <t>cbj Kinderbuch</t>
  </si>
  <si>
    <t>Bilderbuch</t>
  </si>
  <si>
    <t>Harper Collins Schneiderbuch</t>
  </si>
  <si>
    <t>Der kleine Major Tom</t>
  </si>
  <si>
    <t>Science-Fiction</t>
  </si>
  <si>
    <t>dtv</t>
  </si>
  <si>
    <t>Detektivbüro LasseMaja</t>
  </si>
  <si>
    <t>Krimi</t>
  </si>
  <si>
    <t>DTV</t>
  </si>
  <si>
    <t>Die drei ???. Kids</t>
  </si>
  <si>
    <t>Coppenrath</t>
  </si>
  <si>
    <t>Arena</t>
  </si>
  <si>
    <t>Südpol</t>
  </si>
  <si>
    <t>Krimi ; Umwelt</t>
  </si>
  <si>
    <t>Die Haferhorde</t>
  </si>
  <si>
    <t>Magellan</t>
  </si>
  <si>
    <t>Die Jagd nach dem magischen Detektivkoffer</t>
  </si>
  <si>
    <t>Fischer</t>
  </si>
  <si>
    <t>Die kleine Hummel Bommel</t>
  </si>
  <si>
    <t>Die magischen Tierfreunde</t>
  </si>
  <si>
    <t>Die Muskeltiere</t>
  </si>
  <si>
    <t>Die Olchis</t>
  </si>
  <si>
    <t>Die Schule der magischen Tiere - Ermittelt</t>
  </si>
  <si>
    <t>Fantasy ; Krimi</t>
  </si>
  <si>
    <t>Die Tierpolizei</t>
  </si>
  <si>
    <t>Die unlangweiligste Schule der Welt</t>
  </si>
  <si>
    <t>Schule</t>
  </si>
  <si>
    <t>Thienemann</t>
  </si>
  <si>
    <t>Drachenmeister</t>
  </si>
  <si>
    <t>Adrian Verlag</t>
  </si>
  <si>
    <t>Freundschaft</t>
  </si>
  <si>
    <t>Gruseln</t>
  </si>
  <si>
    <t>Ein Fall für Kwiatkowski</t>
  </si>
  <si>
    <t>Elmar</t>
  </si>
  <si>
    <t>Erst ich ein Stück, dann du</t>
  </si>
  <si>
    <t>Eulenzauber</t>
  </si>
  <si>
    <t>Rowohlt</t>
  </si>
  <si>
    <t>Frau Honig</t>
  </si>
  <si>
    <t>Planet</t>
  </si>
  <si>
    <t>Frida die kleine Waldhexe</t>
  </si>
  <si>
    <t>Bilderbuch ; Hexe</t>
  </si>
  <si>
    <t>Sport Fussball</t>
  </si>
  <si>
    <t>Baeschlin</t>
  </si>
  <si>
    <t>Hexe</t>
  </si>
  <si>
    <t>Hör mal rein, wer kann das sein?</t>
  </si>
  <si>
    <t>Ars</t>
  </si>
  <si>
    <t>Pappbilderbuch</t>
  </si>
  <si>
    <t>Hör mal…</t>
  </si>
  <si>
    <t>Ich kann lesen!</t>
  </si>
  <si>
    <t>Anthologie</t>
  </si>
  <si>
    <t>Im Zeichen der Zauberkugel</t>
  </si>
  <si>
    <t>Jim Knopf</t>
  </si>
  <si>
    <t>Bilderbuch ; Klassiker</t>
  </si>
  <si>
    <t>Käpt'n Sharky</t>
  </si>
  <si>
    <t>Bilderbuch ; Pirat</t>
  </si>
  <si>
    <t>Kleiner Eisbär</t>
  </si>
  <si>
    <t>KrimiKids</t>
  </si>
  <si>
    <t>G&amp;G Verlagsgesellschaft</t>
  </si>
  <si>
    <t>Ameet</t>
  </si>
  <si>
    <t>LEGO-Ninjago</t>
  </si>
  <si>
    <t>Leselöwen 1. Klasse</t>
  </si>
  <si>
    <t>Leselöwen 1. Klasse GROSSBUCHSTABEN</t>
  </si>
  <si>
    <t>Erstes Lesealter ; Grossbuchstaben</t>
  </si>
  <si>
    <t>Leselöwen 2. Klasse</t>
  </si>
  <si>
    <t>Lesenlernen in 3 Schritten</t>
  </si>
  <si>
    <t>Leserabe. 1. Lesestufe</t>
  </si>
  <si>
    <t>Leserabe. 2. Lesestufe</t>
  </si>
  <si>
    <t>Leserabe. Leichter lesen lernen mit der Silbenmethode</t>
  </si>
  <si>
    <t>Ravenburger Mildenberger</t>
  </si>
  <si>
    <t>Leserabe. Vor-Lesestufe</t>
  </si>
  <si>
    <t>Lesestarter. 2. Lesestufe</t>
  </si>
  <si>
    <t>Lesezug. 1. Klasse</t>
  </si>
  <si>
    <t>G &amp; G Verlagsgesellschaft</t>
  </si>
  <si>
    <t>Lesezug. 2. Klasse</t>
  </si>
  <si>
    <t>Diverse</t>
  </si>
  <si>
    <t>Lieselotte</t>
  </si>
  <si>
    <t>Bilderbuch ; Soziales</t>
  </si>
  <si>
    <t>Mama Muh</t>
  </si>
  <si>
    <t>Mein Freund Max</t>
  </si>
  <si>
    <t>Meine Freundin Conni</t>
  </si>
  <si>
    <t>Meine Freundin Conni - Bilderbuch</t>
  </si>
  <si>
    <t>Mädchen</t>
  </si>
  <si>
    <t>Ostwind für Kinder</t>
  </si>
  <si>
    <t>Tier Pferd</t>
  </si>
  <si>
    <t>Panini</t>
  </si>
  <si>
    <t>Petronella Apfelmus</t>
  </si>
  <si>
    <t>Pettersson und Findus</t>
  </si>
  <si>
    <t>Bilderbuch ; Lustiges</t>
  </si>
  <si>
    <t>Pokémon spannende Leseabenteuer</t>
  </si>
  <si>
    <t>Nelson</t>
  </si>
  <si>
    <t>Ponyherz</t>
  </si>
  <si>
    <t>Ponyhof Apfelblüte</t>
  </si>
  <si>
    <t>Dragonfly HarperCollins</t>
  </si>
  <si>
    <t>Prinzessin Lillifee</t>
  </si>
  <si>
    <t>Ritter Rost</t>
  </si>
  <si>
    <t>Bilderbuch ; Musical</t>
  </si>
  <si>
    <t>Rotzhase &amp; Schnarchnase</t>
  </si>
  <si>
    <t>Rubinia Wunderherz</t>
  </si>
  <si>
    <t>Schule ; Fantasy</t>
  </si>
  <si>
    <t>Sternenschweif</t>
  </si>
  <si>
    <t>Sternenschweif (kartoniert)</t>
  </si>
  <si>
    <t>Superleser! Lesestufe 1</t>
  </si>
  <si>
    <t>Dorling Kindersley</t>
  </si>
  <si>
    <t>Superleser! Lesestufe 2</t>
  </si>
  <si>
    <t>Tatsache</t>
  </si>
  <si>
    <t>Tafiti</t>
  </si>
  <si>
    <t>TKKG. Junior</t>
  </si>
  <si>
    <t>Wo ist Walter?</t>
  </si>
  <si>
    <t>Bilderbuch ; Spielbuch</t>
  </si>
  <si>
    <t>Beltz &amp; Gelberg</t>
  </si>
  <si>
    <t>Alle bereits erschienen Bände nachliefern</t>
  </si>
  <si>
    <t>Alles Klar! (Kokosnuss-Sachbuchreihe)</t>
  </si>
  <si>
    <t>Frag doch mal ... die Maus!</t>
  </si>
  <si>
    <t>Globi Wissen</t>
  </si>
  <si>
    <t>Orell Füssli Kinderbuch</t>
  </si>
  <si>
    <t>Little People, Big Dreams</t>
  </si>
  <si>
    <t>Insel</t>
  </si>
  <si>
    <t>Meine grosse Tierbibliothek</t>
  </si>
  <si>
    <t>Esslinger</t>
  </si>
  <si>
    <t>Nature Zoom</t>
  </si>
  <si>
    <t>Schauen und Wissen</t>
  </si>
  <si>
    <t>Hase und Igel Verlag</t>
  </si>
  <si>
    <t>Usborne</t>
  </si>
  <si>
    <t>Ullmann Medien</t>
  </si>
  <si>
    <t>TipToi (sämtliche TipToi-Ausgaben)</t>
  </si>
  <si>
    <t>Was ist was. Edition</t>
  </si>
  <si>
    <t>Was ist was. Erstes Lesen</t>
  </si>
  <si>
    <t>Was ist was. Junior</t>
  </si>
  <si>
    <t>Wieso? Weshalb? Warum?</t>
  </si>
  <si>
    <t>Wieso? Weshalb? Warum?. Junior</t>
  </si>
  <si>
    <t>Wieso? Weshalb? Warum?. Tiptoi</t>
  </si>
  <si>
    <t>ACE - die fliegende Schule der Abenteurer</t>
  </si>
  <si>
    <t>Alea Aquarius</t>
  </si>
  <si>
    <t>Bildergeschichte ; Abenteuer</t>
  </si>
  <si>
    <t>Bildergeschichte</t>
  </si>
  <si>
    <t>Action</t>
  </si>
  <si>
    <t>Bildergeschichte ; Lustiges</t>
  </si>
  <si>
    <t>Loewe WOW</t>
  </si>
  <si>
    <t>Piper Hardcover</t>
  </si>
  <si>
    <t>Die Amazonas-Detektive</t>
  </si>
  <si>
    <t>Die drei !!!</t>
  </si>
  <si>
    <t>Die drei ???</t>
  </si>
  <si>
    <t>Die drei ??? (Taschenbuch)</t>
  </si>
  <si>
    <t>Die Erben der Animox</t>
  </si>
  <si>
    <t>Die Kaminski-Kids</t>
  </si>
  <si>
    <t>Fontis-Verlag</t>
  </si>
  <si>
    <t>Die Schule der magischen Tiere</t>
  </si>
  <si>
    <t>Die Schule der magischen Tiere - Endlich Ferien</t>
  </si>
  <si>
    <t>Disneys Villains</t>
  </si>
  <si>
    <t>Dork Diaries</t>
  </si>
  <si>
    <t>Bildergeschichte ; Humor</t>
  </si>
  <si>
    <t>Dusty</t>
  </si>
  <si>
    <t>Tier Hund</t>
  </si>
  <si>
    <t>Ein Fall für die MounTeens</t>
  </si>
  <si>
    <t>boox Verlag</t>
  </si>
  <si>
    <t>Gregs Tagebuch</t>
  </si>
  <si>
    <t>Handbuch für Superhelden</t>
  </si>
  <si>
    <t>Jacoby &amp; Stuart</t>
  </si>
  <si>
    <t>Knallharte Tauben</t>
  </si>
  <si>
    <t>Bildergeschichte ; Krimi</t>
  </si>
  <si>
    <t>von Hacht Verlag GmbH</t>
  </si>
  <si>
    <t>Luzifer junior</t>
  </si>
  <si>
    <t>Mein Lotta-Leben</t>
  </si>
  <si>
    <t>Ostwind</t>
  </si>
  <si>
    <t>Penny Pepper</t>
  </si>
  <si>
    <t>Pferdeflüsterer-Academy</t>
  </si>
  <si>
    <t>S.O.S. Svalbard</t>
  </si>
  <si>
    <t>Super lesbar</t>
  </si>
  <si>
    <t>Beltz</t>
  </si>
  <si>
    <t>Leicht lesen</t>
  </si>
  <si>
    <t>Tom Gates</t>
  </si>
  <si>
    <t>Egmont Schneider</t>
  </si>
  <si>
    <t>Vincent</t>
  </si>
  <si>
    <t>Bildergeschichte ; Gruseln</t>
  </si>
  <si>
    <t>Warrior Cats</t>
  </si>
  <si>
    <t>Warrior Cats. Die Welt der Clans</t>
  </si>
  <si>
    <t>Beltz Gelberg</t>
  </si>
  <si>
    <t>Warrior Cats. Short adventure</t>
  </si>
  <si>
    <t>Woodwalkers &amp; Friends</t>
  </si>
  <si>
    <t>... für clevere Kids</t>
  </si>
  <si>
    <t>... für Dummies. Junior</t>
  </si>
  <si>
    <t>Wiley VCH</t>
  </si>
  <si>
    <t>DK Wissen</t>
  </si>
  <si>
    <t>Entdecke - Die Reihe mit der Eule</t>
  </si>
  <si>
    <t>Natur und Tier</t>
  </si>
  <si>
    <t>Ganz leicht</t>
  </si>
  <si>
    <t>Impian GmbH</t>
  </si>
  <si>
    <t>Ich weiss jetzt 100 Dinge und mehr!</t>
  </si>
  <si>
    <t>Memo - Wissen entdecken Neuauflagen</t>
  </si>
  <si>
    <t>Superchecker!</t>
  </si>
  <si>
    <t>Was ist was</t>
  </si>
  <si>
    <t>Carlsen Clips</t>
  </si>
  <si>
    <t>Carlsen Klartext</t>
  </si>
  <si>
    <t>Die Fowl-Zwillinge</t>
  </si>
  <si>
    <t>List</t>
  </si>
  <si>
    <t>Thriller</t>
  </si>
  <si>
    <t>Ein Enola Holmes Krimi</t>
  </si>
  <si>
    <t>Knesebeck</t>
  </si>
  <si>
    <t>Five nights at Freddy's</t>
  </si>
  <si>
    <t>K.L.A.R.</t>
  </si>
  <si>
    <t>An der Ruhr</t>
  </si>
  <si>
    <t>Dressler</t>
  </si>
  <si>
    <t>Skulduggery Pleasant</t>
  </si>
  <si>
    <t>#dkinfografik</t>
  </si>
  <si>
    <t>Guinness World Records</t>
  </si>
  <si>
    <t>Bange</t>
  </si>
  <si>
    <t>Bibliographisches Institut</t>
  </si>
  <si>
    <t>Bruno, Chef de police</t>
  </si>
  <si>
    <t>Diogenes</t>
  </si>
  <si>
    <t>Kiepenheuer &amp; Witsch</t>
  </si>
  <si>
    <t>Hoffmann &amp; Campe</t>
  </si>
  <si>
    <t>Ein Wallner &amp; Kreuthner Krimi</t>
  </si>
  <si>
    <t>Knaur</t>
  </si>
  <si>
    <t>Elbmarsch-Krimi</t>
  </si>
  <si>
    <t>Lübbe</t>
  </si>
  <si>
    <t>Kommissar Dupin ermittelt</t>
  </si>
  <si>
    <t>Michalis Charisteas</t>
  </si>
  <si>
    <t>Scherz</t>
  </si>
  <si>
    <t>Emons</t>
  </si>
  <si>
    <t>ADAC</t>
  </si>
  <si>
    <t>ADAC Campingführer</t>
  </si>
  <si>
    <t>ADAC Reiseführer</t>
  </si>
  <si>
    <t>ADAC Reiseführer plus</t>
  </si>
  <si>
    <t>Baedeker</t>
  </si>
  <si>
    <t>Beobachter</t>
  </si>
  <si>
    <t>Bikeline Radtourenbuch (Neuauflagen und Neuausgaben)</t>
  </si>
  <si>
    <t>Esterbauer</t>
  </si>
  <si>
    <t>DuMont Bildatlas (Neuauflagen und Neuausgaben)</t>
  </si>
  <si>
    <t>DuMont</t>
  </si>
  <si>
    <t>DuMont Reise-Handbuch (Neuauflagen und Neuausgaben)</t>
  </si>
  <si>
    <t>DuMont Reise-Taschenbuch (Neuauflagen und Neuausgaben)</t>
  </si>
  <si>
    <t>Geo Epoche (ohne DVD)</t>
  </si>
  <si>
    <t>Dt. Pressevertrieb</t>
  </si>
  <si>
    <t>K-Tipp</t>
  </si>
  <si>
    <t>Iwanowski's Reiseführer (Neuauflagen und Neuausgaben)</t>
  </si>
  <si>
    <t>Iwanowski</t>
  </si>
  <si>
    <t>Iwanowski's Reiseführer 101 Geheimtipps (Neuauflagen und Neuausgaben)</t>
  </si>
  <si>
    <t>Kauderwelsch</t>
  </si>
  <si>
    <t>Reise Know-How</t>
  </si>
  <si>
    <t>Kompass Fahrradkarte</t>
  </si>
  <si>
    <t>Kompass</t>
  </si>
  <si>
    <t>Königs Erläuterungen</t>
  </si>
  <si>
    <t>K-Tipp Ratgeber</t>
  </si>
  <si>
    <t>Lonely planet (Neuauflagen und Neuausgaben)</t>
  </si>
  <si>
    <t>MairDumont</t>
  </si>
  <si>
    <t>Marco Polo Reiseführer (Neuauflagen und Neuausgaben)</t>
  </si>
  <si>
    <t>Marco Polo</t>
  </si>
  <si>
    <t>Michael Müller</t>
  </si>
  <si>
    <t>Michael Müller Reisehandbuch (Neuauflagen und Neuausgaben)</t>
  </si>
  <si>
    <t>Michael Müller-City (Neuauflagen und Neuausgaben)</t>
  </si>
  <si>
    <t>National Geographic</t>
  </si>
  <si>
    <t>Naturkunden</t>
  </si>
  <si>
    <t>Matthes &amp; Seitz Verlag</t>
  </si>
  <si>
    <t>Naturpunkt</t>
  </si>
  <si>
    <t>Rotpunkt</t>
  </si>
  <si>
    <t>Ratgeber Gesundheit</t>
  </si>
  <si>
    <t>Gräfe und Unzer</t>
  </si>
  <si>
    <t>Reise Know-how. City Trip (Neuauflagen und Neuausgaben)</t>
  </si>
  <si>
    <t>Reise Know-how. City Trip plus (Neuauflagen und Neuausgaben)</t>
  </si>
  <si>
    <t>Reise Know-how. Insel Trip (Neuauflagen und Neuausgaben)</t>
  </si>
  <si>
    <t>Reise Know-how. Reiseführer (Neuauflagen und Neuausgaben)</t>
  </si>
  <si>
    <t>Reise Know-how. Wohnmobil-Tourguide (Neuauflagen und Neuausgaben)</t>
  </si>
  <si>
    <t>Rother Wanderführer (Neuauflagen und Neuausgaben)</t>
  </si>
  <si>
    <t>Rother</t>
  </si>
  <si>
    <t>Saldo Ratgeber</t>
  </si>
  <si>
    <t>Stefan Loose Travel Handbücher (Neuauflagen und Neuausgaben)</t>
  </si>
  <si>
    <t>Trescher Reihe Reisen (Neuauflagen und Neuausgaben)</t>
  </si>
  <si>
    <t>Trescher</t>
  </si>
  <si>
    <t>Unterwegs in … (Neuauflagen und Neuausgaben)</t>
  </si>
  <si>
    <t>Kunth</t>
  </si>
  <si>
    <t>Vista Point Reiseführer (Neuauflagen und Neuausgaben)</t>
  </si>
  <si>
    <t>Vista Point</t>
  </si>
  <si>
    <t>VZ Ratgeber</t>
  </si>
  <si>
    <t>VZ Vermögenszentrum</t>
  </si>
  <si>
    <t>WOMO-Reiseführer (Neuauflagen und Neuausgaben)</t>
  </si>
  <si>
    <t>Hexe ; Abenteuer</t>
  </si>
  <si>
    <t>Zaubereulen in Federland</t>
  </si>
  <si>
    <t>Naturkind</t>
  </si>
  <si>
    <t>Kommissar Pfote</t>
  </si>
  <si>
    <t>School of Talents</t>
  </si>
  <si>
    <t>Team Lupe ermittelt</t>
  </si>
  <si>
    <t>Was ist was. Erstes Lesen easy!</t>
  </si>
  <si>
    <t>Lia Sturmgold</t>
  </si>
  <si>
    <t>Abenteuer ; Wissenschaft</t>
  </si>
  <si>
    <t>Abenteuer ; Fantasy</t>
  </si>
  <si>
    <t>Loewe Wow!</t>
  </si>
  <si>
    <t>Die drei !!! Sonderbände Hauptstädte</t>
  </si>
  <si>
    <t>Fantasy ; Hexe</t>
  </si>
  <si>
    <t>Krimi ; Historisches</t>
  </si>
  <si>
    <t xml:space="preserve">Total Belletristik Kinder </t>
  </si>
  <si>
    <t xml:space="preserve">Total Sachbuch Kinder </t>
  </si>
  <si>
    <t xml:space="preserve">Total Belletristik Jugend Mittelstufe </t>
  </si>
  <si>
    <t xml:space="preserve">Total Sachbuch Jugend Mittelstufe </t>
  </si>
  <si>
    <t>Total Belletristk Jugend Oberstufe</t>
  </si>
  <si>
    <t>Total Sachbuch Jugend Oberstufe</t>
  </si>
  <si>
    <t>Total Belletristk Erwachsene</t>
  </si>
  <si>
    <t>Total Sachbuch Erwachsene</t>
  </si>
  <si>
    <t>Total 
pro Jahr 
in CHF</t>
  </si>
  <si>
    <t>Ab welchem 
Band liefern</t>
  </si>
  <si>
    <t>Kleine Lesehelden</t>
  </si>
  <si>
    <t>Fantasy ; Schule</t>
  </si>
  <si>
    <t>Ruby Black</t>
  </si>
  <si>
    <t>Mädchen ; Bildergeschichte</t>
  </si>
  <si>
    <t>Die Küstencrew</t>
  </si>
  <si>
    <t>Krimi ; Tier</t>
  </si>
  <si>
    <t>Fantasy ; Abenteuer</t>
  </si>
  <si>
    <t>Fantasy ; Tier</t>
  </si>
  <si>
    <t>da bux edition</t>
  </si>
  <si>
    <t>da bux</t>
  </si>
  <si>
    <t>Verborgene Welten</t>
  </si>
  <si>
    <t>Sophie-Verlag GmbH</t>
  </si>
  <si>
    <t>Ein Mord für Massimo Capaul</t>
  </si>
  <si>
    <t>Kampa Verlag</t>
  </si>
  <si>
    <t>Mutige Frauen zwischen Kunst und Liebe</t>
  </si>
  <si>
    <t>Aufbau TB</t>
  </si>
  <si>
    <t>Biografisches</t>
  </si>
  <si>
    <t>Rory Shy</t>
  </si>
  <si>
    <t>Krimi ; Lustiges</t>
  </si>
  <si>
    <t>Detektivbüro Grusel &amp; Co</t>
  </si>
  <si>
    <t>Lesen lernen mit Magie</t>
  </si>
  <si>
    <t>ars Edition</t>
  </si>
  <si>
    <t>Juli</t>
  </si>
  <si>
    <t>Haustiere</t>
  </si>
  <si>
    <t>Gian und Giachen</t>
  </si>
  <si>
    <t>Nord-Süd</t>
  </si>
  <si>
    <t>Young Agents New Generation</t>
  </si>
  <si>
    <t>Edel Kids</t>
  </si>
  <si>
    <t>Minecraft. Freedom von Paluten</t>
  </si>
  <si>
    <t>Community Editions</t>
  </si>
  <si>
    <t>Amari</t>
  </si>
  <si>
    <t>Ruby</t>
  </si>
  <si>
    <t>Familie ; Freundschaft</t>
  </si>
  <si>
    <t>Der Druide von Mistle End</t>
  </si>
  <si>
    <t>Lottie Brooks</t>
  </si>
  <si>
    <t>Atrium</t>
  </si>
  <si>
    <t>100 Seiten</t>
  </si>
  <si>
    <t>Reclam</t>
  </si>
  <si>
    <t>Trick 17</t>
  </si>
  <si>
    <t>Frech</t>
  </si>
  <si>
    <t>Big Ideas</t>
  </si>
  <si>
    <t>Der letzte Feuerfalke</t>
  </si>
  <si>
    <t xml:space="preserve">Emil Einstein </t>
  </si>
  <si>
    <t>Ein Mädchen namens Willow</t>
  </si>
  <si>
    <t>Ein Myrtle Hardcastle Krimi</t>
  </si>
  <si>
    <t>Keeper of the Lost Cities</t>
  </si>
  <si>
    <t>Big fat notebook</t>
  </si>
  <si>
    <t>Abenteuer ; Lustiges</t>
  </si>
  <si>
    <t>Whisperworld</t>
  </si>
  <si>
    <t>Edel</t>
  </si>
  <si>
    <t>Fantasy ; Liebe</t>
  </si>
  <si>
    <t>Weltgeschichten</t>
  </si>
  <si>
    <t>Sansaria</t>
  </si>
  <si>
    <t>Disney Twisted Tales</t>
  </si>
  <si>
    <t>Schweiz</t>
  </si>
  <si>
    <t>Krimi ; Schweiz</t>
  </si>
  <si>
    <t>Spalte1</t>
  </si>
  <si>
    <t>Spalte2</t>
  </si>
  <si>
    <t>Die aussergewöhnlichen Fälle der Florentine Blix</t>
  </si>
  <si>
    <t>Die Dinoschule</t>
  </si>
  <si>
    <t>Abenteuer ; Schule</t>
  </si>
  <si>
    <t>Die Lama-Gang</t>
  </si>
  <si>
    <t>Krimi ; Tier Lama</t>
  </si>
  <si>
    <t>Die Tierwandler</t>
  </si>
  <si>
    <t>Abenteuer ; Fantasy</t>
  </si>
  <si>
    <t>Die wunderbare Florentine Feiertag</t>
  </si>
  <si>
    <t>Freundschaft ; Gesellschaft</t>
  </si>
  <si>
    <t>Freya und die Furchtlosen</t>
  </si>
  <si>
    <t>Abenteuer; Leicht lesen</t>
  </si>
  <si>
    <t>Geschichte(n) im Freundschaftsbuch</t>
  </si>
  <si>
    <t>Kleines Einhorn Funkelstern</t>
  </si>
  <si>
    <t>Bilderbuch ;  Fabelwesen</t>
  </si>
  <si>
    <t>Leselöwen 3. Klasse</t>
  </si>
  <si>
    <t>Lowinda Löwenzahn</t>
  </si>
  <si>
    <t>Rohwolt</t>
  </si>
  <si>
    <t>Fabelwesen ; Abenteuer</t>
  </si>
  <si>
    <t>Lust auf Lesen</t>
  </si>
  <si>
    <t>Beltz Julius</t>
  </si>
  <si>
    <t>Ruby Fairygale (Erstlese-Reihe)</t>
  </si>
  <si>
    <t>Fantasy ; Fabelwesen</t>
  </si>
  <si>
    <t>TipToi. Suchen und Entdecken</t>
  </si>
  <si>
    <t>Wundervolle Welt</t>
  </si>
  <si>
    <t>Fabula</t>
  </si>
  <si>
    <t>Fairy Tale Camp</t>
  </si>
  <si>
    <t>StoryWorld</t>
  </si>
  <si>
    <t>Swift &amp; Hawk, Cyberagenten</t>
  </si>
  <si>
    <t>Action ; Spionage</t>
  </si>
  <si>
    <t>Time Travel Academy</t>
  </si>
  <si>
    <t>Science-Fiction ; Abenteuer</t>
  </si>
  <si>
    <t>Warrior Cats. Special Adventure</t>
  </si>
  <si>
    <t>Emily Seymour</t>
  </si>
  <si>
    <t>Kiss the Bodyguard</t>
  </si>
  <si>
    <t>Liebe ; Mädchen</t>
  </si>
  <si>
    <t>Visuelles Wissen</t>
  </si>
  <si>
    <t>Historisches ; Liebe</t>
  </si>
  <si>
    <t>Blanvalet</t>
  </si>
  <si>
    <t>Liebe</t>
  </si>
  <si>
    <t>Madame le commissaire</t>
  </si>
  <si>
    <t>Mordgruppe</t>
  </si>
  <si>
    <t>Tschopp &amp; Bianchi</t>
  </si>
  <si>
    <t>Virgin River</t>
  </si>
  <si>
    <t>Heyne</t>
  </si>
  <si>
    <t>Duden</t>
  </si>
  <si>
    <t>Was ist was. Meine Welt</t>
  </si>
  <si>
    <t>Flüsterwald</t>
  </si>
  <si>
    <t>Ruby Fairygale</t>
  </si>
  <si>
    <t>Der Zauberschüler</t>
  </si>
  <si>
    <t>Weshalb? Deshalb!</t>
  </si>
  <si>
    <t>Zaubern</t>
  </si>
  <si>
    <t>Comicroman</t>
  </si>
  <si>
    <t>PhänoMINT</t>
  </si>
  <si>
    <t>moses</t>
  </si>
  <si>
    <t>Tatort Schweiz</t>
  </si>
  <si>
    <t>Red - Der Club der magischen Kinder</t>
  </si>
  <si>
    <t>KoboldKroniken</t>
  </si>
  <si>
    <t>Luna und Sunny</t>
  </si>
  <si>
    <t>Die schlimmste Klasse der Welt</t>
  </si>
  <si>
    <t>Crater Lake</t>
  </si>
  <si>
    <t>Das Haus am Rande der Magie</t>
  </si>
  <si>
    <t>Auzou Schweiz</t>
  </si>
  <si>
    <t>Fabelwesen Kobold</t>
  </si>
  <si>
    <t>Fantasy ; Tier Panda</t>
  </si>
  <si>
    <t>Fantasy ; Tier Pferd</t>
  </si>
  <si>
    <t>Lustiges ; Freundschaft</t>
  </si>
  <si>
    <t>Royalteen</t>
  </si>
  <si>
    <t>Crescent City</t>
  </si>
  <si>
    <t>Mädchen ; Liebe</t>
  </si>
  <si>
    <t>Fantasy ; Junge Erwachsene</t>
  </si>
  <si>
    <t>Spiegel Wissen</t>
  </si>
  <si>
    <t>Spiegel-Verlag</t>
  </si>
  <si>
    <t>Galileo-Forscherclub</t>
  </si>
  <si>
    <t>Das Dorf</t>
  </si>
  <si>
    <t>Ein Fall für Commissario Morello</t>
  </si>
  <si>
    <t>Ein Fall für Juncker und Kristiansen</t>
  </si>
  <si>
    <t>Kristoffer Bark</t>
  </si>
  <si>
    <t>Zauberakademie Siebenstern</t>
  </si>
  <si>
    <t>Pokémon spannende Reisen</t>
  </si>
  <si>
    <t>Wildpferde - mutig &amp; frei</t>
  </si>
  <si>
    <t>Ein Fall für Maëlys</t>
  </si>
  <si>
    <t>Die Eiskönige</t>
  </si>
  <si>
    <t>Sport ; Eishockey</t>
  </si>
  <si>
    <t>Die Cobra-Bande</t>
  </si>
  <si>
    <t>EMF</t>
  </si>
  <si>
    <t>Das Buch der (un)heimlichen Wünsche</t>
  </si>
  <si>
    <t>Henriette Huckepack</t>
  </si>
  <si>
    <t>Jimmy Fox</t>
  </si>
  <si>
    <t>Ninja Cat</t>
  </si>
  <si>
    <t>Einfach lesen lernen</t>
  </si>
  <si>
    <t>Die Zauberkicker</t>
  </si>
  <si>
    <t>Sport ; Fussball</t>
  </si>
  <si>
    <t>Wieso? Weshalb? Warum?. Leuchte &amp; entdecke</t>
  </si>
  <si>
    <t>Grand Hotel Wunder</t>
  </si>
  <si>
    <t>Mädchen ; Fantasy</t>
  </si>
  <si>
    <t>Infinity-Serie</t>
  </si>
  <si>
    <t>Atlantis</t>
  </si>
  <si>
    <t>Was ist was. Junior Edition</t>
  </si>
  <si>
    <t>Die drei ???. Kids. Sachwissen</t>
  </si>
  <si>
    <t>Drache Undercover</t>
  </si>
  <si>
    <t>Grimmwald</t>
  </si>
  <si>
    <t>Space Alarm</t>
  </si>
  <si>
    <t>Die drei ???. Geheimbuch</t>
  </si>
  <si>
    <t>Eddie Albert und die Tierbande</t>
  </si>
  <si>
    <t>Tier ; Abenteuer</t>
  </si>
  <si>
    <t>Golden Horses</t>
  </si>
  <si>
    <t>Kira Kolumna</t>
  </si>
  <si>
    <t>Freundschaft ; Schule</t>
  </si>
  <si>
    <t>Loki</t>
  </si>
  <si>
    <t>Hanser C.</t>
  </si>
  <si>
    <t>Skandar</t>
  </si>
  <si>
    <t>Young Guardians</t>
  </si>
  <si>
    <t>Krimi ; Action</t>
  </si>
  <si>
    <t>Mein Tier</t>
  </si>
  <si>
    <t>Der kleine Igel</t>
  </si>
  <si>
    <t>Brunnen</t>
  </si>
  <si>
    <t>Panda Kingdom</t>
  </si>
  <si>
    <t>Detektei für magisches Unwesen</t>
  </si>
  <si>
    <t>Mimi Zuckerperle und die Zauberbäckerei</t>
  </si>
  <si>
    <t>Pernille und die Geisterschwestern</t>
  </si>
  <si>
    <t>Guinness World Records für Erstleser</t>
  </si>
  <si>
    <t>Holly Holmes und das magische Detektivbüro</t>
  </si>
  <si>
    <t>Bookmän</t>
  </si>
  <si>
    <t>Das magische Schulschiff</t>
  </si>
  <si>
    <t>Die zauberhaften Drei</t>
  </si>
  <si>
    <t>Abenteuer ; Historisches</t>
  </si>
  <si>
    <t>Ein Fall für die Forscher-Kids</t>
  </si>
  <si>
    <t>Emily Meermädchen</t>
  </si>
  <si>
    <t>Erst wundern, dann wissen!</t>
  </si>
  <si>
    <t>Usborne Verlag</t>
  </si>
  <si>
    <t>Lahme Ente, blindes Huhn</t>
  </si>
  <si>
    <t>Abenteuer; Freundschaft</t>
  </si>
  <si>
    <t>Mafalda mittendrin</t>
  </si>
  <si>
    <t>Malverina</t>
  </si>
  <si>
    <t>Jumbo</t>
  </si>
  <si>
    <t>Hexe ; Fantasy</t>
  </si>
  <si>
    <t>Tiptoi. Mein Wörter-Bilderbuch</t>
  </si>
  <si>
    <t>Tiptoi. Meine Lern-Spiel-Welt</t>
  </si>
  <si>
    <t>T-Rex World</t>
  </si>
  <si>
    <t>Das Buch der gestohlenen Träume</t>
  </si>
  <si>
    <t>Lustiges ; Familie</t>
  </si>
  <si>
    <t>Flusskind</t>
  </si>
  <si>
    <t>Freundschaft ; Natur</t>
  </si>
  <si>
    <t>Fussball Academy</t>
  </si>
  <si>
    <t>Ozeanis</t>
  </si>
  <si>
    <t>Action ; Leicht lesen</t>
  </si>
  <si>
    <t>Rise of Legends</t>
  </si>
  <si>
    <t>Fantasy ; Legende</t>
  </si>
  <si>
    <t>Rubina Blackfield</t>
  </si>
  <si>
    <t>Action ; Spionage</t>
  </si>
  <si>
    <t>Stadt der bösen Tiere</t>
  </si>
  <si>
    <t>Fantasy ; Action</t>
  </si>
  <si>
    <t>Lustiges ; Abenteuer</t>
  </si>
  <si>
    <t>Comicroman ; Lustiges</t>
  </si>
  <si>
    <t>Achtsam morden-Reihe</t>
  </si>
  <si>
    <t>Wilhelm Heyne Verlag</t>
  </si>
  <si>
    <t>Der Dorfladen</t>
  </si>
  <si>
    <t>Familie ; Historisches</t>
  </si>
  <si>
    <t>Dr. Siri ermittelt</t>
  </si>
  <si>
    <t>Goldmann</t>
  </si>
  <si>
    <t>Eve Dallas</t>
  </si>
  <si>
    <t>Romantic Escapes</t>
  </si>
  <si>
    <t>Rowohlt Taschenbuch Verlag</t>
  </si>
  <si>
    <t>Schwester Fidelma ermittelt</t>
  </si>
  <si>
    <t>Historisches</t>
  </si>
  <si>
    <t>Kindernaturführer</t>
  </si>
  <si>
    <t>Luc Verlain ermittelt</t>
  </si>
  <si>
    <t>ADAC Stellplatzführer</t>
  </si>
  <si>
    <t>Beobachter Ratgeber +  Beobachter Edition</t>
  </si>
  <si>
    <t>Duden. Einfach können</t>
  </si>
  <si>
    <t xml:space="preserve">National Geographic Reisehandbuch  </t>
  </si>
  <si>
    <t xml:space="preserve">Elemental Assassin </t>
  </si>
  <si>
    <t>Schülerduden</t>
  </si>
  <si>
    <t>Dein Lesestart (1. und 2. Klasse)</t>
  </si>
  <si>
    <t>Cornelsen / Duden</t>
  </si>
  <si>
    <t>Wieso? Weshalb? Warum?. Erstleser</t>
  </si>
  <si>
    <t>Abenteuer ; Natur</t>
  </si>
  <si>
    <t>Furzipups</t>
  </si>
  <si>
    <t>Fussball-Stars</t>
  </si>
  <si>
    <t>Fussball</t>
  </si>
  <si>
    <t>Die Handball-Piraten</t>
  </si>
  <si>
    <t>Karibu</t>
  </si>
  <si>
    <t>Sport Handball</t>
  </si>
  <si>
    <t>BiBiBiber hat da mal 'ne Frage</t>
  </si>
  <si>
    <t>Die Forscherbande</t>
  </si>
  <si>
    <t>Abenteuer ; Technik</t>
  </si>
  <si>
    <t>Schwapp, der Geheimschleim</t>
  </si>
  <si>
    <t>Lustiges ; Fantasy</t>
  </si>
  <si>
    <t>Abenteuerspass mit Conni</t>
  </si>
  <si>
    <t>Abenteuer ; Freundschaft</t>
  </si>
  <si>
    <t>Weck niemals einen Drachen</t>
  </si>
  <si>
    <t>Was ist was. Naturwissenschaften easy!</t>
  </si>
  <si>
    <t>Was ist was. Der Comic</t>
  </si>
  <si>
    <t>Egmont Bäng</t>
  </si>
  <si>
    <t>Cat Girls</t>
  </si>
  <si>
    <t>Lustiges ; Comicroman</t>
  </si>
  <si>
    <t>Superbrain-Comics</t>
  </si>
  <si>
    <t>Leon Mücke</t>
  </si>
  <si>
    <t>Dream Keeper</t>
  </si>
  <si>
    <t>Royal Institute of Magic</t>
  </si>
  <si>
    <t>Devil's Night</t>
  </si>
  <si>
    <t>Ostseeliebe mit Leuchtturmblick</t>
  </si>
  <si>
    <t>EK Books</t>
  </si>
  <si>
    <t>Die Inselpension</t>
  </si>
  <si>
    <t>Lübbe Paperback</t>
  </si>
  <si>
    <t>Familie ; Liebe</t>
  </si>
  <si>
    <t>Kings of Sin</t>
  </si>
  <si>
    <t>Lübbe Lyx</t>
  </si>
  <si>
    <t>Die Blumentöchter</t>
  </si>
  <si>
    <t>Econ-Ullstein-List</t>
  </si>
  <si>
    <t>Ein Fall für Kinny Glass</t>
  </si>
  <si>
    <t>Die Zeit der Frauen</t>
  </si>
  <si>
    <t>Lindt &amp; Sprüngli Saga</t>
  </si>
  <si>
    <t>Penguin</t>
  </si>
  <si>
    <r>
      <t xml:space="preserve">Vorgehen: Die hellgrau gefärbten Zellen mit der gewünschten Anzahl ausfüllen. Dadurch wird das geschätzte Jahrestotal, basierend auf Menge berechnet. </t>
    </r>
    <r>
      <rPr>
        <b/>
        <sz val="8"/>
        <rFont val="Vectora LT Roman"/>
      </rPr>
      <t>Rabatte und Aufarbeitung werden nicht mit einberechnet.</t>
    </r>
    <r>
      <rPr>
        <sz val="8"/>
        <rFont val="Vectora LT Roman"/>
      </rPr>
      <t xml:space="preserve"> Die angegebenen Mengen und Preise basieren auf den Erscheinungen des letzten Jahres. Sämtliche Angaben ohne Gewähr. Geben Sie zusätzlich in den letzten beiden Spalten an, ob Sie alle bereits erschienenen Bände bestellen möchten oder ab welchem Band Sie die Reihe bestellen.</t>
    </r>
  </si>
  <si>
    <t>Bücherhelden. 1. Klasse</t>
  </si>
  <si>
    <t>Bücherhelden. 2. Klasse</t>
  </si>
  <si>
    <t>Das magische Baumhaus. Junior</t>
  </si>
  <si>
    <t>Die ZeitBande</t>
  </si>
  <si>
    <t>Fünf Freunde JUNIOR</t>
  </si>
  <si>
    <t>NordSüd Verlag</t>
  </si>
  <si>
    <t>Leseprofi. 1. Klasse</t>
  </si>
  <si>
    <t>Leseprofi. Mit Bildern lesen lernen</t>
  </si>
  <si>
    <t>Leseprofi. 2. Klasse</t>
  </si>
  <si>
    <t>Minecraft Erste Leseabenteuer</t>
  </si>
  <si>
    <t>Bilderbuch ; Abenteuer</t>
  </si>
  <si>
    <t>Horse Club - Leseanfänger</t>
  </si>
  <si>
    <t>Superleser! Extraleicht</t>
  </si>
  <si>
    <t>Die drei ???. Kids - Dein Fall</t>
  </si>
  <si>
    <t>Die drei ???. Dein Fall</t>
  </si>
  <si>
    <t>Donnie &amp; Jan - ziemlich beste Brüder</t>
  </si>
  <si>
    <t xml:space="preserve"> </t>
  </si>
  <si>
    <t>111 Orte (inkl. Neuauflagen)</t>
  </si>
  <si>
    <t>Baedeker (Neuauflagen und Neuausgaben)</t>
  </si>
  <si>
    <t>Baedeker SMART Reiseführer (Neuauflagen und Neuausgaben)</t>
  </si>
  <si>
    <t>DuMont direkt (Neuauflagen und Neuausgaben)</t>
  </si>
  <si>
    <t>Transformers Earthspark</t>
  </si>
  <si>
    <t>Nelson/Xenox</t>
  </si>
  <si>
    <t>Abenteuer ; Science-Fiction</t>
  </si>
  <si>
    <t>Wir sind die Weltklasse!</t>
  </si>
  <si>
    <t>Schule ; Freundschaft</t>
  </si>
  <si>
    <t>Kiki legt los!</t>
  </si>
  <si>
    <t>Schule ; Lustiges</t>
  </si>
  <si>
    <t>Tierdetektive Hippo &amp; Ka</t>
  </si>
  <si>
    <t>Krimi ; Rätsel</t>
  </si>
  <si>
    <t>Glimmer Gossip</t>
  </si>
  <si>
    <t>Mädchen ; Freundschaft</t>
  </si>
  <si>
    <t>iCrimax</t>
  </si>
  <si>
    <t>Riva-Verlag</t>
  </si>
  <si>
    <t>Time out</t>
  </si>
  <si>
    <t>Abenteuer ; Krimi</t>
  </si>
  <si>
    <t>Ist doch Isy?</t>
  </si>
  <si>
    <t>Freundschaft ; Umwelt</t>
  </si>
  <si>
    <t>Bodyguard Reloaded</t>
  </si>
  <si>
    <t>CBT TB</t>
  </si>
  <si>
    <t>Die Schokoladen-Pionierinnen</t>
  </si>
  <si>
    <t>Heyne Taschenb.</t>
  </si>
  <si>
    <t>W&amp;R Academy</t>
  </si>
  <si>
    <t>Nova MD</t>
  </si>
  <si>
    <t>Liebe ; Fantasy</t>
  </si>
  <si>
    <t>Anton Monsterjäger</t>
  </si>
  <si>
    <t>Bitte nicht öffnen, sonst…</t>
  </si>
  <si>
    <t>Bob Popcorn</t>
  </si>
  <si>
    <t>Schaltzeit Verlag</t>
  </si>
  <si>
    <t>Das geheime Leben der Tiere. Arktis</t>
  </si>
  <si>
    <t>Die Bande vom Lande</t>
  </si>
  <si>
    <t>Die wilden Robbins</t>
  </si>
  <si>
    <t>Die Zauberschule von Avalon</t>
  </si>
  <si>
    <t>Roger Rättel und die heisseste Detektivschule der Welt</t>
  </si>
  <si>
    <t>Penguin Junior</t>
  </si>
  <si>
    <t>Strassentiger</t>
  </si>
  <si>
    <t>Abenteuer ; Tier</t>
  </si>
  <si>
    <t>Super-Wilma</t>
  </si>
  <si>
    <t>Was guckst du?!</t>
  </si>
  <si>
    <t>Tulipan</t>
  </si>
  <si>
    <t>Gefühle</t>
  </si>
  <si>
    <t>Wilde Woche</t>
  </si>
  <si>
    <t>Tier ; Lustiges</t>
  </si>
  <si>
    <t>Zauberhufe - Unser magischer Ponyhof</t>
  </si>
  <si>
    <t>Philine</t>
  </si>
  <si>
    <t>Baskerville Hall. Das geheimnisvolle Internat der besonderen Talente</t>
  </si>
  <si>
    <t>Abenteuer ; Mystery</t>
  </si>
  <si>
    <t>Flip, der Einhornfisch</t>
  </si>
  <si>
    <t>Lowe WOW</t>
  </si>
  <si>
    <t>LEGO City</t>
  </si>
  <si>
    <t>LEGO DREAMZzz</t>
  </si>
  <si>
    <t>Tritt ein</t>
  </si>
  <si>
    <t>Die Nordseedetektive</t>
  </si>
  <si>
    <t>Krimi ; Abenteuer</t>
  </si>
  <si>
    <t>Die Superhörnchen</t>
  </si>
  <si>
    <t>Knacks!</t>
  </si>
  <si>
    <t>Schule der Bösewichte</t>
  </si>
  <si>
    <t>Gruseln ; Fabelwesen</t>
  </si>
  <si>
    <t>Tagebuch eines kleinen Noobs</t>
  </si>
  <si>
    <t>Ullmann</t>
  </si>
  <si>
    <t>Rocky Beach Crimes</t>
  </si>
  <si>
    <t>Animox als Comic-Roman</t>
  </si>
  <si>
    <t>Ren, der Ninja</t>
  </si>
  <si>
    <t>Comicroman ; Abenteuer</t>
  </si>
  <si>
    <t>Sherlock &amp; you</t>
  </si>
  <si>
    <t>Der Capri-Krimi</t>
  </si>
  <si>
    <t>Lesen nervt!</t>
  </si>
  <si>
    <t>arsEdition</t>
  </si>
  <si>
    <t>Ein Fall für Jon Salutt</t>
  </si>
  <si>
    <t>Dark Prince Road</t>
  </si>
  <si>
    <t>Vancouver Storm</t>
  </si>
  <si>
    <t>Der Geisterkickboarder von Wetzikon</t>
  </si>
  <si>
    <t>Geisterkickboarder</t>
  </si>
  <si>
    <t>Action ; Abenteuer</t>
  </si>
  <si>
    <t>Auf magischen Pfoten</t>
  </si>
  <si>
    <t>Bagger Ben</t>
  </si>
  <si>
    <t>Dachs und Rakete</t>
  </si>
  <si>
    <t>Das Buch mit dem Fluch</t>
  </si>
  <si>
    <t>Der Ernst des Lebens</t>
  </si>
  <si>
    <t>NordSüd Verlag AG</t>
  </si>
  <si>
    <t>Der kleine Gruselshop</t>
  </si>
  <si>
    <t>Der Monsterjäger-Club</t>
  </si>
  <si>
    <t>Detektivagentur Christie &amp; Agathe</t>
  </si>
  <si>
    <t>Die kleine Spinne Widerlich</t>
  </si>
  <si>
    <t>Die Krumpflinge</t>
  </si>
  <si>
    <t>Die Rattenbande</t>
  </si>
  <si>
    <t>Die Strassengäng</t>
  </si>
  <si>
    <t>Die Zeit-Agenten</t>
  </si>
  <si>
    <t>DK</t>
  </si>
  <si>
    <t>Drachenschule Nebelsturm</t>
  </si>
  <si>
    <t>Einfach selbst lesen</t>
  </si>
  <si>
    <t>Eldrador Creatures</t>
  </si>
  <si>
    <t>Schneiderbuch</t>
  </si>
  <si>
    <t>Globi Pappbilderbuch</t>
  </si>
  <si>
    <t>Globi</t>
  </si>
  <si>
    <t>Ich finde was...</t>
  </si>
  <si>
    <t>Idefix und die Unbeugsamen</t>
  </si>
  <si>
    <t>Egmont Bäng Books</t>
  </si>
  <si>
    <t>Kleiner Dachs &amp; Grosser Dachs</t>
  </si>
  <si>
    <t>Leo Lausemaus</t>
  </si>
  <si>
    <t>Lingen</t>
  </si>
  <si>
    <t>Leseprofi. GROSSBUCHSTABEN</t>
  </si>
  <si>
    <t>Liliane Susewind. Erstleser</t>
  </si>
  <si>
    <t>Magic Lilly</t>
  </si>
  <si>
    <t>Magische Häschen</t>
  </si>
  <si>
    <t>Mein grosses Buch der Schweizer Sagen und Legenden</t>
  </si>
  <si>
    <t>HELVETIQ Sarl</t>
  </si>
  <si>
    <t>Mina Wirbelfee</t>
  </si>
  <si>
    <t>Mirella Manusch</t>
  </si>
  <si>
    <t>Muffin und Tört</t>
  </si>
  <si>
    <t>Otto fährt los</t>
  </si>
  <si>
    <t>Pauli</t>
  </si>
  <si>
    <t>Nord-Süd Verlag</t>
  </si>
  <si>
    <t>Peppa Wutz Bilderbuch</t>
  </si>
  <si>
    <t>Nelson/Xenax</t>
  </si>
  <si>
    <t>Petronella Apfelmus Erstleser</t>
  </si>
  <si>
    <t>Pina Ponyhexe</t>
  </si>
  <si>
    <t>Fischer Sauerländer</t>
  </si>
  <si>
    <t>Regenbogenfisch</t>
  </si>
  <si>
    <t>Tierkinder und ihr Zuhause</t>
  </si>
  <si>
    <t>Zauberhafte Elfenmagie</t>
  </si>
  <si>
    <t>Zilly und Zingaro</t>
  </si>
  <si>
    <t>Aus dem Schultagebuch</t>
  </si>
  <si>
    <t>Captain Underpants</t>
  </si>
  <si>
    <t>Cyber Code</t>
  </si>
  <si>
    <t>Das Geheimnis von Nox</t>
  </si>
  <si>
    <t>Das Rätsel von Darkmoor</t>
  </si>
  <si>
    <t>rotfuchs</t>
  </si>
  <si>
    <t>Die Abenteuer der Wild Rangers</t>
  </si>
  <si>
    <t>Die Chroniken von Lunis</t>
  </si>
  <si>
    <t>Die geheime Drachenschule - Die Vorgeschichte</t>
  </si>
  <si>
    <t>Die Geheimnis-Reihe</t>
  </si>
  <si>
    <t>Die Gesellschaft der geheimen Tiere</t>
  </si>
  <si>
    <t>Die Insel der magischen Wächter</t>
  </si>
  <si>
    <t>Cbj</t>
  </si>
  <si>
    <t>Die Pausenkicker</t>
  </si>
  <si>
    <t>Die Pferde aus Galdur</t>
  </si>
  <si>
    <t>Die Zeitdetektive</t>
  </si>
  <si>
    <t>Dragon Girls</t>
  </si>
  <si>
    <t>Ein Fall für dich und das Tiger-Team</t>
  </si>
  <si>
    <t>Ein Roman aus der Welt von Rabaukien</t>
  </si>
  <si>
    <t>Elena - ein Leben für Pferde</t>
  </si>
  <si>
    <t>Es war einmal…</t>
  </si>
  <si>
    <t>Splitter</t>
  </si>
  <si>
    <t>Götter ausser Rand und Band</t>
  </si>
  <si>
    <t>Greenwild</t>
  </si>
  <si>
    <t>Ice Guardians</t>
  </si>
  <si>
    <t>Im Bann der Elemente</t>
  </si>
  <si>
    <t>Impossible Creatures</t>
  </si>
  <si>
    <t>Kathas Katastrophen</t>
  </si>
  <si>
    <t>Kosmos Schlaufux</t>
  </si>
  <si>
    <t>Magic Agents</t>
  </si>
  <si>
    <t>Mein geheimes Leben als Monsterjäger</t>
  </si>
  <si>
    <t>Nelumbiya</t>
  </si>
  <si>
    <t>Nic Blake</t>
  </si>
  <si>
    <t>PS: Du bist die Beste</t>
  </si>
  <si>
    <t>Schule der Meisterdiebe</t>
  </si>
  <si>
    <t>Seawalkers &amp; Friends</t>
  </si>
  <si>
    <t>Sepia</t>
  </si>
  <si>
    <t>Willkommen bei Familie Fies</t>
  </si>
  <si>
    <t>Caraval</t>
  </si>
  <si>
    <t>Piper</t>
  </si>
  <si>
    <t>Die Töchter der Phönixreiter</t>
  </si>
  <si>
    <t>Königs Lernhilfen</t>
  </si>
  <si>
    <t>Marvel Heroes</t>
  </si>
  <si>
    <t>Percy Jackson</t>
  </si>
  <si>
    <t>The Grandest Game</t>
  </si>
  <si>
    <t>CBT Tb.</t>
  </si>
  <si>
    <t>White Fox Chroniken</t>
  </si>
  <si>
    <t>Blue Eternity</t>
  </si>
  <si>
    <t>Forever</t>
  </si>
  <si>
    <t>Capitaine Roger Blanc</t>
  </si>
  <si>
    <t>Dumont</t>
  </si>
  <si>
    <t>Coastlines</t>
  </si>
  <si>
    <t>Commissario Brunetti</t>
  </si>
  <si>
    <t>Crowns of Nyaxia</t>
  </si>
  <si>
    <t>Der rote Nachtfalter</t>
  </si>
  <si>
    <t>Die Cartier-Saga</t>
  </si>
  <si>
    <t>Die Eismeertrilogie</t>
  </si>
  <si>
    <t>btb</t>
  </si>
  <si>
    <t>Die Telefonistinnen-Saga</t>
  </si>
  <si>
    <t>Dream Harbor</t>
  </si>
  <si>
    <t>Harper Collins Germany</t>
  </si>
  <si>
    <t>Ein Fall für Commissaire Leclerc</t>
  </si>
  <si>
    <t>Ein Fall für Gamache</t>
  </si>
  <si>
    <t>Ein Fall für Herr Wälti</t>
  </si>
  <si>
    <t>Ein Fall für Obalski</t>
  </si>
  <si>
    <t>Wunderliche</t>
  </si>
  <si>
    <t>Ein Fall für Pierre Durand</t>
  </si>
  <si>
    <t>Engelhardt &amp; Krieger</t>
  </si>
  <si>
    <t>Fae &amp; Alchemy</t>
  </si>
  <si>
    <t>Penguin Hardcover</t>
  </si>
  <si>
    <t>Hildur</t>
  </si>
  <si>
    <t>Heyne Taschenbuch</t>
  </si>
  <si>
    <t>Isle of Mull</t>
  </si>
  <si>
    <t>Italian Summer</t>
  </si>
  <si>
    <t>Kindersuchdienst</t>
  </si>
  <si>
    <t>Ullstein Paperback</t>
  </si>
  <si>
    <t>Küstenzauber</t>
  </si>
  <si>
    <t>HarperCollins Taschenbuch</t>
  </si>
  <si>
    <t>L.A. Love</t>
  </si>
  <si>
    <t>Mira/reverie by HarperCollins</t>
  </si>
  <si>
    <t>L.A. Vipers</t>
  </si>
  <si>
    <t>LYX</t>
  </si>
  <si>
    <t>Lehrerin für ein besseres Morgen</t>
  </si>
  <si>
    <t>Ullstein Taschenbuch Verlag</t>
  </si>
  <si>
    <t>Listland</t>
  </si>
  <si>
    <t>Lost in Fuseta</t>
  </si>
  <si>
    <t>Married into Magic</t>
  </si>
  <si>
    <t>Plain Daisy Ranch</t>
  </si>
  <si>
    <t>Rabenwinter-Saga</t>
  </si>
  <si>
    <t>Red Summer</t>
  </si>
  <si>
    <t>Econ-Ullstein</t>
  </si>
  <si>
    <t>Whitestone Hospital</t>
  </si>
  <si>
    <t>Zaubern ; Fantasy</t>
  </si>
  <si>
    <t>Schule ; Abenteuer</t>
  </si>
  <si>
    <t>Fantasy ; Grusel</t>
  </si>
  <si>
    <t>Abenteuer ; Rätsel</t>
  </si>
  <si>
    <t>Fantasy ; Fabelwesen Drache</t>
  </si>
  <si>
    <t>Bilderbuch ; Tier Spinne</t>
  </si>
  <si>
    <t>Pappbilderbuch ; Schweiz</t>
  </si>
  <si>
    <t>Bilderbuch ; Wimmelbuch</t>
  </si>
  <si>
    <t>Bilderbuch ; Tier Dachs</t>
  </si>
  <si>
    <t>Freundschaft ; Abenteuer</t>
  </si>
  <si>
    <t>Fantasy ; Tier Hase</t>
  </si>
  <si>
    <t>Bilderbuch ; Tier Fisch</t>
  </si>
  <si>
    <t>Hexe ; Tier Pony</t>
  </si>
  <si>
    <t>Hexe ; Lustiges</t>
  </si>
  <si>
    <t>Bilderbuch ; Familie</t>
  </si>
  <si>
    <t>Bilderbuch ; Reise</t>
  </si>
  <si>
    <t>Fabelwesen ; Fantasy</t>
  </si>
  <si>
    <t>Fabelwesen Fee ; Fantasy</t>
  </si>
  <si>
    <t>Bilderbuch ; Tier</t>
  </si>
  <si>
    <t>Wimmelbücher von Kuh Lieselotte</t>
  </si>
  <si>
    <t>Wimmelbuch ; Tier Kuh</t>
  </si>
  <si>
    <t>Fabelwesen Elfe ; Fantasy</t>
  </si>
  <si>
    <t>Schule ; Leicht lesen</t>
  </si>
  <si>
    <t>Science-Fiction ; Action</t>
  </si>
  <si>
    <t>Abenteuer ; Grusel</t>
  </si>
  <si>
    <t>Abenteuer ; Familie</t>
  </si>
  <si>
    <t>Freundschaft ; Sport Fussball</t>
  </si>
  <si>
    <t>Krimi ; Interaktvi</t>
  </si>
  <si>
    <t>Abenteuer; Fantasy</t>
  </si>
  <si>
    <t>Fantasy ; Natur</t>
  </si>
  <si>
    <t>Superkraft ; Fantasy</t>
  </si>
  <si>
    <t>Freundschaft ; Mädchen</t>
  </si>
  <si>
    <t>Abenteuer ; Kriminalität</t>
  </si>
  <si>
    <t>Fantasy ; Literatur</t>
  </si>
  <si>
    <t>Action ; Fantasy</t>
  </si>
  <si>
    <t>Fantasy ; Sage</t>
  </si>
  <si>
    <t>Thriller ; Familie</t>
  </si>
  <si>
    <t>Krimi ; Europa Frankreich Provence</t>
  </si>
  <si>
    <t>Krimi ; Europa Italien Venedig</t>
  </si>
  <si>
    <t>Frau ; Gesellschaft</t>
  </si>
  <si>
    <t>Historisches Nachkriegszeit ; Frau</t>
  </si>
  <si>
    <t>Krimi ; Amerika Kanada</t>
  </si>
  <si>
    <t>Krimi ; Europa Deutschland München</t>
  </si>
  <si>
    <t>Krimi ; Thriller</t>
  </si>
  <si>
    <t>Eva Nyman</t>
  </si>
  <si>
    <t>Krimi ; Europa Schweden</t>
  </si>
  <si>
    <t>Krimi ; Europa Island</t>
  </si>
  <si>
    <t>Historisches 20. Jh. ; Frau</t>
  </si>
  <si>
    <t>Liebe ; Europa Italien</t>
  </si>
  <si>
    <t>Liebe ; Freundschaft</t>
  </si>
  <si>
    <t>Liebe ; Familie</t>
  </si>
  <si>
    <t>Liebe ; Sport American Football</t>
  </si>
  <si>
    <t>Krimi ; Europa Portugal</t>
  </si>
  <si>
    <t>Familie ; Europa Deutschland Sylt</t>
  </si>
  <si>
    <t>Frau ; Liebe</t>
  </si>
  <si>
    <t>Neuanfang auf Französisch</t>
  </si>
  <si>
    <t>Liebe ; Mystery</t>
  </si>
  <si>
    <t>Junge Erwachsene ; Liebe</t>
  </si>
  <si>
    <t>Beruf Arzt ; Liebe</t>
  </si>
  <si>
    <t>Gipfel 1:25 000</t>
  </si>
  <si>
    <t>Bundesamt für Landestopografie swisstopo</t>
  </si>
  <si>
    <t>Karten. Landestopographie (KALA)</t>
  </si>
  <si>
    <t>swisstopo</t>
  </si>
  <si>
    <t>Alltagshelden - Gefühle lernen mit Disney</t>
  </si>
  <si>
    <t>Vorlesen ; Gefühl</t>
  </si>
  <si>
    <t>Amanda Black</t>
  </si>
  <si>
    <t>Bandolino</t>
  </si>
  <si>
    <t>Bandolo</t>
  </si>
  <si>
    <t>Blackened Blade</t>
  </si>
  <si>
    <t>Dark Romance ; Fantasy</t>
  </si>
  <si>
    <t>Bluey - Bilderbücher</t>
  </si>
  <si>
    <t>Bilderbuch ; Alltag</t>
  </si>
  <si>
    <t>Breaking Waves</t>
  </si>
  <si>
    <t>Frau ; Freundschaft</t>
  </si>
  <si>
    <t>C.H. Beck Wissen</t>
  </si>
  <si>
    <t>Beck, C H</t>
  </si>
  <si>
    <t>Copenhagen Cinnamon</t>
  </si>
  <si>
    <t>Hammer</t>
  </si>
  <si>
    <t>Das geheime Leben der Tiere. Meer</t>
  </si>
  <si>
    <t>Tier Orca</t>
  </si>
  <si>
    <t>Devils Delight</t>
  </si>
  <si>
    <t>Black Edition</t>
  </si>
  <si>
    <t xml:space="preserve">Dark Romance </t>
  </si>
  <si>
    <t>Die Footballfreunde</t>
  </si>
  <si>
    <t>Sport American Football</t>
  </si>
  <si>
    <t>Die Evermore-Reihe</t>
  </si>
  <si>
    <t>Fantasy; Liebe</t>
  </si>
  <si>
    <t>Die Schule der Herzenspferde</t>
  </si>
  <si>
    <t>Fantasy ; Leicht lesen ; Tier Pferd</t>
  </si>
  <si>
    <t>Die Schule der magischen Tiere - Das Buch zum Film</t>
  </si>
  <si>
    <t>Carlson</t>
  </si>
  <si>
    <t>Tier ; Fantasy ; Schule</t>
  </si>
  <si>
    <t>Die Schweden-Saga</t>
  </si>
  <si>
    <t>Die Tierfeuerwehr</t>
  </si>
  <si>
    <t>Abenteuer ; Beruf Feuerwehr</t>
  </si>
  <si>
    <t>Dr. Brumm (Bilderbuch)</t>
  </si>
  <si>
    <t>Elbnächte</t>
  </si>
  <si>
    <t>Ullstein Verlag</t>
  </si>
  <si>
    <t>Historisches 20 Jh.</t>
  </si>
  <si>
    <t>Emily Windsnap. Neuausgabe</t>
  </si>
  <si>
    <t>Erlebnis Schweiz</t>
  </si>
  <si>
    <t>Hallwag Kümmerly + Frey</t>
  </si>
  <si>
    <t>Fast - immer Reihe</t>
  </si>
  <si>
    <t>Finja und Fairy</t>
  </si>
  <si>
    <t>Foxfighter</t>
  </si>
  <si>
    <t>Fritzi und Bille</t>
  </si>
  <si>
    <t>Gerichtsmedizinerin Perdita Menke ermittelt</t>
  </si>
  <si>
    <t>Droemer  TB</t>
  </si>
  <si>
    <t>Krimi ; Historisches 20 Jh.</t>
  </si>
  <si>
    <t>Geissbock Charly</t>
  </si>
  <si>
    <t>Gesundheitstipp Ratgeber</t>
  </si>
  <si>
    <t>Guiness World Records Gamer`s Edition</t>
  </si>
  <si>
    <t>Helden der Weide</t>
  </si>
  <si>
    <t>Abenteuer ; Bauernhof</t>
  </si>
  <si>
    <t>Jede*r kann die Welt verändern!</t>
  </si>
  <si>
    <t>Kamelienhaus-Saga</t>
  </si>
  <si>
    <t>Leselernstars Disney</t>
  </si>
  <si>
    <t>Leselöwen Comics 1. Klasse</t>
  </si>
  <si>
    <t>Leselöwen Comics 2. Klasse</t>
  </si>
  <si>
    <t>Letters of Enchantment</t>
  </si>
  <si>
    <t>Lola</t>
  </si>
  <si>
    <t>Mädchen ; Abenteuer</t>
  </si>
  <si>
    <t>Lower Whilby</t>
  </si>
  <si>
    <t>Meisterdetektiv Sherlock Bones</t>
  </si>
  <si>
    <t>Raus und…*</t>
  </si>
  <si>
    <t>Hallwag Kümmerly+Frey</t>
  </si>
  <si>
    <t>Scarlet Luck</t>
  </si>
  <si>
    <t>SpooKI</t>
  </si>
  <si>
    <t>Gruseln ; Computer</t>
  </si>
  <si>
    <t>Sternenschweif (Neuausgabe)</t>
  </si>
  <si>
    <t>Fabelwesen Einhorn</t>
  </si>
  <si>
    <t>Team Campus</t>
  </si>
  <si>
    <t>The Darlington</t>
  </si>
  <si>
    <t>The Assassin and the Princess</t>
  </si>
  <si>
    <t>Thea Magica</t>
  </si>
  <si>
    <t>Top Ten</t>
  </si>
  <si>
    <t>White Star</t>
  </si>
  <si>
    <t>Unicorn Academy</t>
  </si>
  <si>
    <t>Unterholz-Ninjas</t>
  </si>
  <si>
    <t>Ungeheuer…</t>
  </si>
  <si>
    <t>Lustiges ; Fabelwesen</t>
  </si>
  <si>
    <t>War Of Lost Hearts</t>
  </si>
  <si>
    <t>Web of Silence Duett</t>
  </si>
  <si>
    <t>VAJONA Verlag</t>
  </si>
  <si>
    <t>Dark Romance</t>
  </si>
  <si>
    <t>Willkommen bei den Grauses</t>
  </si>
  <si>
    <t>Familie ; Lustiges</t>
  </si>
  <si>
    <t>Windwalkers</t>
  </si>
  <si>
    <t>Wundemähne</t>
  </si>
  <si>
    <t>Wir finden Mörder-Serie</t>
  </si>
  <si>
    <t>Krimi , Familie</t>
  </si>
  <si>
    <t>Potter Guides</t>
  </si>
  <si>
    <t>Molly mittendrin</t>
  </si>
  <si>
    <t>Klett</t>
  </si>
  <si>
    <t>Gefühl ; Familie</t>
  </si>
  <si>
    <t>Insel der Tierabenteuer</t>
  </si>
  <si>
    <t>Beruf Detektiv ; Tier</t>
  </si>
  <si>
    <t>Eulenzauber Junior</t>
  </si>
  <si>
    <t>Clue</t>
  </si>
  <si>
    <t>Rios magische Reisen</t>
  </si>
  <si>
    <t>Abenteuer ; Reise</t>
  </si>
  <si>
    <t>5 Worlds</t>
  </si>
  <si>
    <t>Comic ; Science-Fiction</t>
  </si>
  <si>
    <t>Gold Rush Ranch</t>
  </si>
  <si>
    <t>Montmartre</t>
  </si>
  <si>
    <t>Frau ; Historisches 19.Jh.</t>
  </si>
  <si>
    <t>Dark Forces</t>
  </si>
  <si>
    <t>Sportstars erzählen</t>
  </si>
  <si>
    <t>Sport Skaten ; Biografisches</t>
  </si>
  <si>
    <t>Die Hobby-Horsing-Kids</t>
  </si>
  <si>
    <t>Sport ; Ferien</t>
  </si>
  <si>
    <t>Boys of Tommen</t>
  </si>
  <si>
    <t>Liebe ; Schule</t>
  </si>
  <si>
    <t>Abenteuer in Müffel-Büffel</t>
  </si>
  <si>
    <t>Abenteuer ; Beruf Cowboy</t>
  </si>
  <si>
    <t>Alga Wasserhexe</t>
  </si>
  <si>
    <t>Maggie Müller ermittelt</t>
  </si>
  <si>
    <t>Magic Music</t>
  </si>
  <si>
    <t>Fantasy ; Musik</t>
  </si>
  <si>
    <t>Tierolympiade</t>
  </si>
  <si>
    <t>Lustiges ; Sport</t>
  </si>
  <si>
    <t>Meermädchen Smeeralda</t>
  </si>
  <si>
    <t>Animox Origins</t>
  </si>
  <si>
    <t>Oetinger Verlag</t>
  </si>
  <si>
    <t>Tagebuch eines Noobs Kriegers - Comicroman</t>
  </si>
  <si>
    <t>Lustiges ; Game</t>
  </si>
  <si>
    <t>Leselöwen Lesetraining 1. Klasse</t>
  </si>
  <si>
    <t>Leselöwen Lesetraining 2. Klasse</t>
  </si>
  <si>
    <t>Die Nussknacker-Bande</t>
  </si>
  <si>
    <t>Eine Klasse voller Superhelden</t>
  </si>
  <si>
    <t>Ueberreuter Berlin</t>
  </si>
  <si>
    <t>Furchtlose Federviecher</t>
  </si>
  <si>
    <t>Karlchen</t>
  </si>
  <si>
    <t>Vorlesen ; Familie</t>
  </si>
  <si>
    <t>Plötzlich wach!</t>
  </si>
  <si>
    <t>Fantasy ; Lustiges</t>
  </si>
  <si>
    <t>Retter der Drachen</t>
  </si>
  <si>
    <t>Bright-Field Bilderbücher</t>
  </si>
  <si>
    <t>Bilderbuch ; Gefühl</t>
  </si>
  <si>
    <t>Neinhorn</t>
  </si>
  <si>
    <t>Was ist Was. Kids</t>
  </si>
  <si>
    <t>Pappbilderbuch ; Bilderbuch</t>
  </si>
  <si>
    <t>Belletristik Kinder (2-9 Jahre)</t>
  </si>
  <si>
    <t>Sachbuch Kinder (4-9 Jahre)</t>
  </si>
  <si>
    <t>Belletristik Jugend Mittelstufe (10-12 Jahre)</t>
  </si>
  <si>
    <t>Sachbuch Jugend Mittelstufe (10-12 Jahre)</t>
  </si>
  <si>
    <t>Belletristik Jugend Oberstufe (13-16 Jahre)</t>
  </si>
  <si>
    <t>Sachbuch Jugend Oberstufe (13-16 Jahre)</t>
  </si>
  <si>
    <t>Belletristik Erwachsene (16+ Jahre)</t>
  </si>
  <si>
    <t>Sachbuch Erwachsene (16+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</si>
</sst>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8"/>
      <color theme="1"/>
      <name val="Vectora LT Roman"/>
      <family val="2"/>
    </font>
    <font>
      <sz val="8"/>
      <name val="Vectora LT Roman"/>
    </font>
    <font>
      <b/>
      <sz val="8"/>
      <name val="Vectora LT Roman"/>
    </font>
    <font>
      <sz val="8"/>
      <name val="Vectora LT Roman"/>
      <family val="2"/>
    </font>
    <font>
      <b/>
      <sz val="8"/>
      <name val="Vectora LT Roman"/>
      <family val="2"/>
    </font>
  </fonts>
  <fills count="5">
    <fill>
      <patternFill patternType="none"/>
    </fill>
    <fill>
      <patternFill patternType="gray125"/>
    </fill>
    <fill>
      <patternFill patternType="solid">
        <fgColor indexed="22"/>
        <bgColor indexed="31"/>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7">
    <xf numFmtId="0" fontId="0" fillId="0" borderId="0" xfId="0"/>
    <xf numFmtId="0" fontId="1" fillId="0" borderId="0" xfId="0" applyFont="1" applyAlignment="1">
      <alignment vertical="top"/>
    </xf>
    <xf numFmtId="0" fontId="2" fillId="0" borderId="2" xfId="0" applyFont="1" applyBorder="1" applyAlignment="1">
      <alignment horizontal="center" vertical="top"/>
    </xf>
    <xf numFmtId="0" fontId="2" fillId="0" borderId="2" xfId="0" applyFont="1" applyBorder="1" applyAlignment="1" applyProtection="1">
      <alignment horizontal="left" vertical="top" wrapText="1"/>
      <protection locked="0"/>
    </xf>
    <xf numFmtId="0" fontId="2" fillId="0" borderId="3" xfId="0" applyFont="1" applyBorder="1" applyAlignment="1">
      <alignment horizontal="right" vertical="top"/>
    </xf>
    <xf numFmtId="0" fontId="2" fillId="0" borderId="5" xfId="0" applyFont="1" applyBorder="1" applyAlignment="1">
      <alignment horizontal="center" vertical="top"/>
    </xf>
    <xf numFmtId="0" fontId="2" fillId="0" borderId="5" xfId="0" applyFont="1" applyBorder="1" applyAlignment="1" applyProtection="1">
      <alignment vertical="top"/>
      <protection locked="0"/>
    </xf>
    <xf numFmtId="2" fontId="2" fillId="0" borderId="6" xfId="0" applyNumberFormat="1" applyFont="1" applyBorder="1" applyAlignment="1">
      <alignment vertical="top"/>
    </xf>
    <xf numFmtId="0" fontId="1" fillId="0" borderId="7" xfId="0" applyFont="1" applyBorder="1"/>
    <xf numFmtId="0" fontId="1" fillId="0" borderId="0" xfId="0" applyFont="1"/>
    <xf numFmtId="0" fontId="1" fillId="0" borderId="0" xfId="0" applyFont="1" applyAlignment="1">
      <alignment horizontal="center"/>
    </xf>
    <xf numFmtId="0" fontId="1" fillId="0" borderId="8" xfId="0" applyFont="1" applyBorder="1"/>
    <xf numFmtId="0" fontId="1" fillId="0" borderId="8"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2" fillId="0" borderId="0" xfId="0" applyFont="1" applyAlignment="1">
      <alignment vertical="top"/>
    </xf>
    <xf numFmtId="0" fontId="1" fillId="0" borderId="13" xfId="0" applyFont="1" applyBorder="1" applyAlignment="1" applyProtection="1">
      <alignment horizontal="left" vertical="top"/>
      <protection locked="0"/>
    </xf>
    <xf numFmtId="0" fontId="1" fillId="0" borderId="0" xfId="0" applyFont="1" applyAlignment="1" applyProtection="1">
      <alignment horizontal="right" vertical="top" wrapText="1"/>
      <protection locked="0"/>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center" wrapText="1"/>
    </xf>
    <xf numFmtId="1" fontId="1" fillId="0" borderId="0" xfId="0" applyNumberFormat="1" applyFont="1" applyAlignment="1">
      <alignment horizontal="center" vertical="top"/>
    </xf>
    <xf numFmtId="2" fontId="1" fillId="0" borderId="0" xfId="0" applyNumberFormat="1" applyFont="1" applyAlignment="1" applyProtection="1">
      <alignment horizontal="left" vertical="top"/>
      <protection locked="0"/>
    </xf>
    <xf numFmtId="0" fontId="1" fillId="0" borderId="0" xfId="0" applyFont="1" applyAlignment="1" applyProtection="1">
      <alignment horizontal="left" vertical="top"/>
      <protection locked="0"/>
    </xf>
    <xf numFmtId="0" fontId="1" fillId="0" borderId="0" xfId="0" applyFont="1" applyAlignment="1">
      <alignment horizontal="center" vertical="top" wrapText="1"/>
    </xf>
    <xf numFmtId="0" fontId="1" fillId="0" borderId="0" xfId="0" applyFont="1" applyAlignment="1">
      <alignment wrapText="1"/>
    </xf>
    <xf numFmtId="2" fontId="1" fillId="0" borderId="0" xfId="0" applyNumberFormat="1" applyFont="1" applyAlignment="1">
      <alignment vertical="top" wrapText="1"/>
    </xf>
    <xf numFmtId="0" fontId="1" fillId="0" borderId="0" xfId="0" applyFont="1" applyAlignment="1" applyProtection="1">
      <alignment vertical="top"/>
      <protection locked="0"/>
    </xf>
    <xf numFmtId="0" fontId="2" fillId="2" borderId="10" xfId="0" applyFont="1" applyFill="1" applyBorder="1" applyAlignment="1">
      <alignment vertical="top" wrapText="1"/>
    </xf>
    <xf numFmtId="0" fontId="2" fillId="2" borderId="10" xfId="0" applyFont="1" applyFill="1" applyBorder="1" applyAlignment="1">
      <alignment vertical="top"/>
    </xf>
    <xf numFmtId="0" fontId="2" fillId="2" borderId="10" xfId="0" applyFont="1" applyFill="1" applyBorder="1" applyAlignment="1">
      <alignment horizontal="left" vertical="top"/>
    </xf>
    <xf numFmtId="1" fontId="2" fillId="2" borderId="10" xfId="0" applyNumberFormat="1" applyFont="1" applyFill="1" applyBorder="1" applyAlignment="1">
      <alignment horizontal="left" vertical="top" wrapText="1"/>
    </xf>
    <xf numFmtId="0" fontId="2" fillId="2" borderId="10" xfId="0" applyFont="1" applyFill="1" applyBorder="1" applyAlignment="1">
      <alignment horizontal="left" vertical="top" wrapText="1"/>
    </xf>
    <xf numFmtId="2" fontId="2" fillId="2" borderId="10" xfId="0" applyNumberFormat="1" applyFont="1" applyFill="1" applyBorder="1" applyAlignment="1">
      <alignment horizontal="left" vertical="top" wrapText="1"/>
    </xf>
    <xf numFmtId="1" fontId="2" fillId="0" borderId="0" xfId="0" applyNumberFormat="1" applyFont="1" applyAlignment="1">
      <alignment horizontal="center" wrapText="1"/>
    </xf>
    <xf numFmtId="0" fontId="1" fillId="0" borderId="2" xfId="0" applyFont="1" applyBorder="1" applyAlignment="1">
      <alignment vertical="top" wrapText="1"/>
    </xf>
    <xf numFmtId="0" fontId="1" fillId="0" borderId="13" xfId="0" applyFont="1" applyBorder="1" applyAlignment="1">
      <alignment vertical="top" wrapText="1"/>
    </xf>
    <xf numFmtId="0" fontId="1" fillId="0" borderId="13" xfId="0" applyFont="1" applyBorder="1" applyAlignment="1">
      <alignment horizontal="left" vertical="top" wrapText="1"/>
    </xf>
    <xf numFmtId="0" fontId="1" fillId="0" borderId="13" xfId="0" applyFont="1" applyBorder="1" applyAlignment="1">
      <alignment vertical="top"/>
    </xf>
    <xf numFmtId="0" fontId="1" fillId="0" borderId="13" xfId="0" applyFont="1" applyBorder="1" applyAlignment="1">
      <alignment horizontal="center" wrapText="1"/>
    </xf>
    <xf numFmtId="1" fontId="1" fillId="0" borderId="13" xfId="0" applyNumberFormat="1" applyFont="1" applyBorder="1" applyAlignment="1">
      <alignment horizontal="center" vertical="top"/>
    </xf>
    <xf numFmtId="0" fontId="1" fillId="0" borderId="13" xfId="0" applyFont="1" applyBorder="1" applyAlignment="1">
      <alignment horizontal="center"/>
    </xf>
    <xf numFmtId="0" fontId="1" fillId="0" borderId="13" xfId="0" applyFont="1" applyBorder="1" applyAlignment="1">
      <alignment horizontal="center" vertical="top" wrapText="1"/>
    </xf>
    <xf numFmtId="0" fontId="1" fillId="0" borderId="10" xfId="0" applyFont="1" applyBorder="1" applyAlignment="1">
      <alignment vertical="top" wrapText="1"/>
    </xf>
    <xf numFmtId="0" fontId="1"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1" fontId="1" fillId="0" borderId="2" xfId="0" applyNumberFormat="1" applyFont="1" applyBorder="1" applyAlignment="1">
      <alignment horizontal="center" vertical="top"/>
    </xf>
    <xf numFmtId="0" fontId="1" fillId="0" borderId="2" xfId="0" applyFont="1" applyBorder="1" applyAlignment="1" applyProtection="1">
      <alignment horizontal="left" vertical="top"/>
      <protection locked="0"/>
    </xf>
    <xf numFmtId="0" fontId="1" fillId="0" borderId="2" xfId="0" applyFont="1" applyBorder="1" applyAlignment="1">
      <alignment vertical="top"/>
    </xf>
    <xf numFmtId="0" fontId="1" fillId="0" borderId="13" xfId="0" applyFont="1" applyBorder="1" applyAlignment="1">
      <alignment vertical="center" wrapText="1"/>
    </xf>
    <xf numFmtId="0" fontId="1" fillId="0" borderId="10" xfId="0" applyFont="1" applyBorder="1" applyAlignment="1">
      <alignment horizontal="center" vertical="top" wrapText="1"/>
    </xf>
    <xf numFmtId="2" fontId="1" fillId="0" borderId="13" xfId="0" applyNumberFormat="1" applyFont="1" applyBorder="1" applyAlignment="1">
      <alignment horizontal="center" vertical="center" wrapText="1"/>
    </xf>
    <xf numFmtId="0" fontId="3" fillId="0" borderId="13" xfId="0" applyFont="1" applyBorder="1" applyAlignment="1">
      <alignment vertical="top" wrapText="1"/>
    </xf>
    <xf numFmtId="0" fontId="3" fillId="0" borderId="13" xfId="0" applyFont="1" applyBorder="1" applyAlignment="1">
      <alignment vertical="top"/>
    </xf>
    <xf numFmtId="0" fontId="3" fillId="0" borderId="2" xfId="0" applyFont="1" applyBorder="1" applyAlignment="1">
      <alignment vertical="top" wrapText="1"/>
    </xf>
    <xf numFmtId="0" fontId="1"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0" xfId="0" applyFont="1" applyAlignment="1">
      <alignment vertical="center"/>
    </xf>
    <xf numFmtId="0" fontId="1" fillId="0" borderId="10" xfId="0" applyFont="1" applyBorder="1" applyAlignment="1">
      <alignment vertical="center"/>
    </xf>
    <xf numFmtId="0" fontId="2" fillId="2" borderId="10" xfId="0" applyFont="1" applyFill="1" applyBorder="1" applyAlignment="1">
      <alignment vertical="center"/>
    </xf>
    <xf numFmtId="0" fontId="3" fillId="0" borderId="13" xfId="0" applyFont="1" applyBorder="1" applyAlignment="1">
      <alignment vertical="center" wrapText="1"/>
    </xf>
    <xf numFmtId="0" fontId="1" fillId="0" borderId="1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xf>
    <xf numFmtId="0" fontId="3" fillId="0" borderId="2" xfId="0" applyFont="1" applyBorder="1" applyAlignment="1">
      <alignment vertical="center" wrapText="1"/>
    </xf>
    <xf numFmtId="2" fontId="1" fillId="0" borderId="0" xfId="0" applyNumberFormat="1" applyFont="1" applyAlignment="1">
      <alignment vertical="center"/>
    </xf>
    <xf numFmtId="2" fontId="1" fillId="0" borderId="10" xfId="0" applyNumberFormat="1" applyFont="1" applyBorder="1" applyAlignment="1">
      <alignment vertical="center"/>
    </xf>
    <xf numFmtId="2" fontId="2" fillId="2" borderId="10" xfId="0" applyNumberFormat="1" applyFont="1" applyFill="1" applyBorder="1" applyAlignment="1">
      <alignment horizontal="left" vertical="center" wrapText="1"/>
    </xf>
    <xf numFmtId="2" fontId="1" fillId="0" borderId="0" xfId="0" applyNumberFormat="1" applyFont="1" applyAlignment="1">
      <alignment horizontal="center" vertical="center" wrapText="1"/>
    </xf>
    <xf numFmtId="2" fontId="2" fillId="0" borderId="0" xfId="0" applyNumberFormat="1" applyFont="1" applyAlignment="1">
      <alignment horizontal="right" vertical="center"/>
    </xf>
    <xf numFmtId="2" fontId="1" fillId="0" borderId="0" xfId="0" applyNumberFormat="1" applyFont="1" applyAlignment="1">
      <alignment horizontal="center" vertical="center"/>
    </xf>
    <xf numFmtId="2" fontId="1" fillId="0" borderId="10" xfId="0" applyNumberFormat="1" applyFont="1" applyBorder="1" applyAlignment="1">
      <alignment horizontal="center" vertical="center" wrapText="1"/>
    </xf>
    <xf numFmtId="0" fontId="4" fillId="2" borderId="10" xfId="0" applyFont="1" applyFill="1" applyBorder="1" applyAlignment="1">
      <alignment vertical="top"/>
    </xf>
    <xf numFmtId="0" fontId="3" fillId="0" borderId="13" xfId="0" applyFont="1" applyBorder="1" applyAlignment="1">
      <alignment vertical="center"/>
    </xf>
    <xf numFmtId="0" fontId="1" fillId="3" borderId="12" xfId="0" applyFont="1" applyFill="1" applyBorder="1" applyAlignment="1" applyProtection="1">
      <alignment horizontal="right" vertical="top" wrapText="1"/>
      <protection locked="0"/>
    </xf>
    <xf numFmtId="0" fontId="1" fillId="3" borderId="13" xfId="0" applyFont="1" applyFill="1" applyBorder="1" applyAlignment="1" applyProtection="1">
      <alignment horizontal="right" vertical="top" wrapText="1"/>
      <protection locked="0"/>
    </xf>
    <xf numFmtId="0" fontId="1" fillId="3" borderId="2" xfId="0" applyFont="1" applyFill="1" applyBorder="1" applyAlignment="1" applyProtection="1">
      <alignment horizontal="right" vertical="top" wrapText="1"/>
      <protection locked="0"/>
    </xf>
    <xf numFmtId="0" fontId="1" fillId="0" borderId="13" xfId="0" applyFont="1" applyBorder="1" applyAlignment="1">
      <alignment vertical="center"/>
    </xf>
    <xf numFmtId="0" fontId="3" fillId="0" borderId="10" xfId="0" applyFont="1" applyBorder="1" applyAlignment="1">
      <alignment vertical="center" wrapText="1"/>
    </xf>
    <xf numFmtId="0" fontId="1" fillId="4" borderId="13" xfId="0" applyFont="1" applyFill="1" applyBorder="1" applyAlignment="1">
      <alignment vertical="center" wrapText="1"/>
    </xf>
    <xf numFmtId="2" fontId="1" fillId="4" borderId="13" xfId="0" applyNumberFormat="1" applyFont="1" applyFill="1" applyBorder="1" applyAlignment="1">
      <alignment horizontal="center" vertical="center" wrapText="1"/>
    </xf>
    <xf numFmtId="0" fontId="3" fillId="4" borderId="13" xfId="0" applyFont="1" applyFill="1" applyBorder="1" applyAlignment="1">
      <alignment vertical="center" wrapText="1"/>
    </xf>
    <xf numFmtId="0" fontId="1" fillId="4" borderId="13" xfId="0" applyFont="1" applyFill="1" applyBorder="1" applyAlignment="1">
      <alignment vertical="top" wrapText="1"/>
    </xf>
    <xf numFmtId="0" fontId="1" fillId="4" borderId="13" xfId="0" applyFont="1" applyFill="1" applyBorder="1" applyAlignment="1">
      <alignment horizontal="left" vertical="top" wrapText="1"/>
    </xf>
    <xf numFmtId="0" fontId="1" fillId="4" borderId="13" xfId="0" applyFont="1" applyFill="1" applyBorder="1" applyAlignment="1">
      <alignment vertical="top"/>
    </xf>
    <xf numFmtId="0" fontId="1" fillId="4" borderId="13" xfId="0" applyFont="1" applyFill="1" applyBorder="1" applyAlignment="1">
      <alignment horizontal="center"/>
    </xf>
    <xf numFmtId="1" fontId="1" fillId="4" borderId="13" xfId="0" applyNumberFormat="1" applyFont="1" applyFill="1" applyBorder="1" applyAlignment="1">
      <alignment horizontal="center" vertical="top"/>
    </xf>
    <xf numFmtId="0" fontId="1" fillId="4" borderId="13" xfId="0" applyFont="1" applyFill="1" applyBorder="1" applyAlignment="1" applyProtection="1">
      <alignment horizontal="left" vertical="top"/>
      <protection locked="0"/>
    </xf>
    <xf numFmtId="0" fontId="1" fillId="4" borderId="0" xfId="0" applyFont="1" applyFill="1" applyAlignment="1">
      <alignment vertical="top"/>
    </xf>
    <xf numFmtId="0" fontId="3" fillId="0" borderId="10" xfId="0" applyFont="1" applyBorder="1" applyAlignment="1">
      <alignment vertical="top" wrapText="1"/>
    </xf>
    <xf numFmtId="0" fontId="3" fillId="0" borderId="1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0" fillId="0" borderId="0" xfId="0" applyNumberFormat="1" applyFont="1" applyAlignment="1">
      <alignment horizontal="center" wrapText="1"/>
    </xf>
  </cellXfs>
  <cellStyles count="1">
    <cellStyle name="Standard" xfId="0" builtinId="0"/>
  </cellStyles>
  <dxfs count="123">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s>
  <tableStyles count="0" defaultTableStyle="TableStyleLight8"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91847</xdr:colOff>
      <xdr:row>22</xdr:row>
      <xdr:rowOff>6804</xdr:rowOff>
    </xdr:from>
    <xdr:to>
      <xdr:col>2</xdr:col>
      <xdr:colOff>240247</xdr:colOff>
      <xdr:row>22</xdr:row>
      <xdr:rowOff>155204</xdr:rowOff>
    </xdr:to>
    <xdr:pic>
      <xdr:nvPicPr>
        <xdr:cNvPr id="2" name="Grafik 1">
          <a:extLst>
            <a:ext uri="{FF2B5EF4-FFF2-40B4-BE49-F238E27FC236}">
              <a16:creationId xmlns:a16="http://schemas.microsoft.com/office/drawing/2014/main" id="{35991455-6DED-4C60-97DC-354227C07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522" y="5417004"/>
          <a:ext cx="148400" cy="148400"/>
        </a:xfrm>
        <a:prstGeom prst="rect">
          <a:avLst/>
        </a:prstGeom>
      </xdr:spPr>
    </xdr:pic>
    <xdr:clientData/>
  </xdr:twoCellAnchor>
  <xdr:twoCellAnchor editAs="oneCell">
    <xdr:from>
      <xdr:col>2</xdr:col>
      <xdr:colOff>90369</xdr:colOff>
      <xdr:row>36</xdr:row>
      <xdr:rowOff>10857</xdr:rowOff>
    </xdr:from>
    <xdr:to>
      <xdr:col>2</xdr:col>
      <xdr:colOff>222926</xdr:colOff>
      <xdr:row>36</xdr:row>
      <xdr:rowOff>143414</xdr:rowOff>
    </xdr:to>
    <xdr:pic>
      <xdr:nvPicPr>
        <xdr:cNvPr id="3" name="Grafik 2">
          <a:extLst>
            <a:ext uri="{FF2B5EF4-FFF2-40B4-BE49-F238E27FC236}">
              <a16:creationId xmlns:a16="http://schemas.microsoft.com/office/drawing/2014/main" id="{6D8F3B2F-EDC3-4231-8DDC-2D766A0A4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6878382"/>
          <a:ext cx="132557" cy="132557"/>
        </a:xfrm>
        <a:prstGeom prst="rect">
          <a:avLst/>
        </a:prstGeom>
      </xdr:spPr>
    </xdr:pic>
    <xdr:clientData/>
  </xdr:twoCellAnchor>
  <xdr:oneCellAnchor>
    <xdr:from>
      <xdr:col>2</xdr:col>
      <xdr:colOff>90369</xdr:colOff>
      <xdr:row>44</xdr:row>
      <xdr:rowOff>10857</xdr:rowOff>
    </xdr:from>
    <xdr:ext cx="132557" cy="132557"/>
    <xdr:pic>
      <xdr:nvPicPr>
        <xdr:cNvPr id="5" name="Grafik 4">
          <a:extLst>
            <a:ext uri="{FF2B5EF4-FFF2-40B4-BE49-F238E27FC236}">
              <a16:creationId xmlns:a16="http://schemas.microsoft.com/office/drawing/2014/main" id="{229F839D-2B96-407C-BD4E-1C84B87518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8659557"/>
          <a:ext cx="132557" cy="132557"/>
        </a:xfrm>
        <a:prstGeom prst="rect">
          <a:avLst/>
        </a:prstGeom>
      </xdr:spPr>
    </xdr:pic>
    <xdr:clientData/>
  </xdr:oneCellAnchor>
  <xdr:oneCellAnchor>
    <xdr:from>
      <xdr:col>2</xdr:col>
      <xdr:colOff>90369</xdr:colOff>
      <xdr:row>116</xdr:row>
      <xdr:rowOff>10857</xdr:rowOff>
    </xdr:from>
    <xdr:ext cx="132557" cy="132557"/>
    <xdr:pic>
      <xdr:nvPicPr>
        <xdr:cNvPr id="21" name="Grafik 20">
          <a:extLst>
            <a:ext uri="{FF2B5EF4-FFF2-40B4-BE49-F238E27FC236}">
              <a16:creationId xmlns:a16="http://schemas.microsoft.com/office/drawing/2014/main" id="{A8DDEAB3-48FC-468E-A7B7-A7EAD09BD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17079657"/>
          <a:ext cx="132557" cy="132557"/>
        </a:xfrm>
        <a:prstGeom prst="rect">
          <a:avLst/>
        </a:prstGeom>
      </xdr:spPr>
    </xdr:pic>
    <xdr:clientData/>
  </xdr:oneCellAnchor>
  <xdr:oneCellAnchor>
    <xdr:from>
      <xdr:col>2</xdr:col>
      <xdr:colOff>97221</xdr:colOff>
      <xdr:row>152</xdr:row>
      <xdr:rowOff>19148</xdr:rowOff>
    </xdr:from>
    <xdr:ext cx="132557" cy="132557"/>
    <xdr:pic>
      <xdr:nvPicPr>
        <xdr:cNvPr id="26" name="Grafik 25">
          <a:extLst>
            <a:ext uri="{FF2B5EF4-FFF2-40B4-BE49-F238E27FC236}">
              <a16:creationId xmlns:a16="http://schemas.microsoft.com/office/drawing/2014/main" id="{884EFB88-30DE-4DD6-B13D-FA202EF27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1358" y="24098896"/>
          <a:ext cx="132557" cy="132557"/>
        </a:xfrm>
        <a:prstGeom prst="rect">
          <a:avLst/>
        </a:prstGeom>
      </xdr:spPr>
    </xdr:pic>
    <xdr:clientData/>
  </xdr:oneCellAnchor>
  <xdr:oneCellAnchor>
    <xdr:from>
      <xdr:col>2</xdr:col>
      <xdr:colOff>90369</xdr:colOff>
      <xdr:row>177</xdr:row>
      <xdr:rowOff>10857</xdr:rowOff>
    </xdr:from>
    <xdr:ext cx="132557" cy="132557"/>
    <xdr:pic>
      <xdr:nvPicPr>
        <xdr:cNvPr id="29" name="Grafik 28">
          <a:extLst>
            <a:ext uri="{FF2B5EF4-FFF2-40B4-BE49-F238E27FC236}">
              <a16:creationId xmlns:a16="http://schemas.microsoft.com/office/drawing/2014/main" id="{60E8855C-9836-49F5-9937-3DADC5211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5013982"/>
          <a:ext cx="132557" cy="132557"/>
        </a:xfrm>
        <a:prstGeom prst="rect">
          <a:avLst/>
        </a:prstGeom>
      </xdr:spPr>
    </xdr:pic>
    <xdr:clientData/>
  </xdr:oneCellAnchor>
  <xdr:oneCellAnchor>
    <xdr:from>
      <xdr:col>2</xdr:col>
      <xdr:colOff>90369</xdr:colOff>
      <xdr:row>187</xdr:row>
      <xdr:rowOff>0</xdr:rowOff>
    </xdr:from>
    <xdr:ext cx="132557" cy="132557"/>
    <xdr:pic>
      <xdr:nvPicPr>
        <xdr:cNvPr id="32" name="Grafik 31">
          <a:extLst>
            <a:ext uri="{FF2B5EF4-FFF2-40B4-BE49-F238E27FC236}">
              <a16:creationId xmlns:a16="http://schemas.microsoft.com/office/drawing/2014/main" id="{F9C512AC-0D3F-4037-BFCB-6341D0E2F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6147457"/>
          <a:ext cx="132557" cy="132557"/>
        </a:xfrm>
        <a:prstGeom prst="rect">
          <a:avLst/>
        </a:prstGeom>
      </xdr:spPr>
    </xdr:pic>
    <xdr:clientData/>
  </xdr:oneCellAnchor>
  <xdr:oneCellAnchor>
    <xdr:from>
      <xdr:col>2</xdr:col>
      <xdr:colOff>90369</xdr:colOff>
      <xdr:row>190</xdr:row>
      <xdr:rowOff>10857</xdr:rowOff>
    </xdr:from>
    <xdr:ext cx="132557" cy="132557"/>
    <xdr:pic>
      <xdr:nvPicPr>
        <xdr:cNvPr id="34" name="Grafik 33">
          <a:extLst>
            <a:ext uri="{FF2B5EF4-FFF2-40B4-BE49-F238E27FC236}">
              <a16:creationId xmlns:a16="http://schemas.microsoft.com/office/drawing/2014/main" id="{31E9A962-6E97-4FCB-BC82-0BB451496D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6957082"/>
          <a:ext cx="132557" cy="132557"/>
        </a:xfrm>
        <a:prstGeom prst="rect">
          <a:avLst/>
        </a:prstGeom>
      </xdr:spPr>
    </xdr:pic>
    <xdr:clientData/>
  </xdr:oneCellAnchor>
  <xdr:oneCellAnchor>
    <xdr:from>
      <xdr:col>2</xdr:col>
      <xdr:colOff>90369</xdr:colOff>
      <xdr:row>202</xdr:row>
      <xdr:rowOff>10857</xdr:rowOff>
    </xdr:from>
    <xdr:ext cx="132557" cy="132557"/>
    <xdr:pic>
      <xdr:nvPicPr>
        <xdr:cNvPr id="37" name="Grafik 36">
          <a:extLst>
            <a:ext uri="{FF2B5EF4-FFF2-40B4-BE49-F238E27FC236}">
              <a16:creationId xmlns:a16="http://schemas.microsoft.com/office/drawing/2014/main" id="{5AF283D0-6036-4BBD-926E-D2CA12979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9062107"/>
          <a:ext cx="132557" cy="132557"/>
        </a:xfrm>
        <a:prstGeom prst="rect">
          <a:avLst/>
        </a:prstGeom>
      </xdr:spPr>
    </xdr:pic>
    <xdr:clientData/>
  </xdr:oneCellAnchor>
  <xdr:oneCellAnchor>
    <xdr:from>
      <xdr:col>2</xdr:col>
      <xdr:colOff>90369</xdr:colOff>
      <xdr:row>206</xdr:row>
      <xdr:rowOff>0</xdr:rowOff>
    </xdr:from>
    <xdr:ext cx="132557" cy="132557"/>
    <xdr:pic>
      <xdr:nvPicPr>
        <xdr:cNvPr id="38" name="Grafik 37">
          <a:extLst>
            <a:ext uri="{FF2B5EF4-FFF2-40B4-BE49-F238E27FC236}">
              <a16:creationId xmlns:a16="http://schemas.microsoft.com/office/drawing/2014/main" id="{913F241C-877A-4FBA-BCF9-35CFE1894C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9224032"/>
          <a:ext cx="132557" cy="132557"/>
        </a:xfrm>
        <a:prstGeom prst="rect">
          <a:avLst/>
        </a:prstGeom>
      </xdr:spPr>
    </xdr:pic>
    <xdr:clientData/>
  </xdr:oneCellAnchor>
  <xdr:oneCellAnchor>
    <xdr:from>
      <xdr:col>2</xdr:col>
      <xdr:colOff>90369</xdr:colOff>
      <xdr:row>207</xdr:row>
      <xdr:rowOff>10857</xdr:rowOff>
    </xdr:from>
    <xdr:ext cx="132557" cy="132557"/>
    <xdr:pic>
      <xdr:nvPicPr>
        <xdr:cNvPr id="39" name="Grafik 38">
          <a:extLst>
            <a:ext uri="{FF2B5EF4-FFF2-40B4-BE49-F238E27FC236}">
              <a16:creationId xmlns:a16="http://schemas.microsoft.com/office/drawing/2014/main" id="{1265485F-5EED-408B-BF0C-FF2C3B670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9547882"/>
          <a:ext cx="132557" cy="132557"/>
        </a:xfrm>
        <a:prstGeom prst="rect">
          <a:avLst/>
        </a:prstGeom>
      </xdr:spPr>
    </xdr:pic>
    <xdr:clientData/>
  </xdr:oneCellAnchor>
  <xdr:oneCellAnchor>
    <xdr:from>
      <xdr:col>2</xdr:col>
      <xdr:colOff>90369</xdr:colOff>
      <xdr:row>209</xdr:row>
      <xdr:rowOff>10857</xdr:rowOff>
    </xdr:from>
    <xdr:ext cx="132557" cy="132557"/>
    <xdr:pic>
      <xdr:nvPicPr>
        <xdr:cNvPr id="40" name="Grafik 39">
          <a:extLst>
            <a:ext uri="{FF2B5EF4-FFF2-40B4-BE49-F238E27FC236}">
              <a16:creationId xmlns:a16="http://schemas.microsoft.com/office/drawing/2014/main" id="{201F0385-371B-434A-8B74-059B32AE8C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29709807"/>
          <a:ext cx="132557" cy="132557"/>
        </a:xfrm>
        <a:prstGeom prst="rect">
          <a:avLst/>
        </a:prstGeom>
      </xdr:spPr>
    </xdr:pic>
    <xdr:clientData/>
  </xdr:oneCellAnchor>
  <xdr:oneCellAnchor>
    <xdr:from>
      <xdr:col>2</xdr:col>
      <xdr:colOff>90369</xdr:colOff>
      <xdr:row>214</xdr:row>
      <xdr:rowOff>10857</xdr:rowOff>
    </xdr:from>
    <xdr:ext cx="132557" cy="132557"/>
    <xdr:pic>
      <xdr:nvPicPr>
        <xdr:cNvPr id="41" name="Grafik 40">
          <a:extLst>
            <a:ext uri="{FF2B5EF4-FFF2-40B4-BE49-F238E27FC236}">
              <a16:creationId xmlns:a16="http://schemas.microsoft.com/office/drawing/2014/main" id="{A15A6F3B-1A52-4C62-9E5F-08F3F8FD3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0357507"/>
          <a:ext cx="132557" cy="132557"/>
        </a:xfrm>
        <a:prstGeom prst="rect">
          <a:avLst/>
        </a:prstGeom>
      </xdr:spPr>
    </xdr:pic>
    <xdr:clientData/>
  </xdr:oneCellAnchor>
  <xdr:oneCellAnchor>
    <xdr:from>
      <xdr:col>2</xdr:col>
      <xdr:colOff>90369</xdr:colOff>
      <xdr:row>215</xdr:row>
      <xdr:rowOff>10857</xdr:rowOff>
    </xdr:from>
    <xdr:ext cx="132557" cy="132557"/>
    <xdr:pic>
      <xdr:nvPicPr>
        <xdr:cNvPr id="42" name="Grafik 41">
          <a:extLst>
            <a:ext uri="{FF2B5EF4-FFF2-40B4-BE49-F238E27FC236}">
              <a16:creationId xmlns:a16="http://schemas.microsoft.com/office/drawing/2014/main" id="{E4582135-7E79-4294-83CE-AC7B30013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0519432"/>
          <a:ext cx="132557" cy="132557"/>
        </a:xfrm>
        <a:prstGeom prst="rect">
          <a:avLst/>
        </a:prstGeom>
      </xdr:spPr>
    </xdr:pic>
    <xdr:clientData/>
  </xdr:oneCellAnchor>
  <xdr:oneCellAnchor>
    <xdr:from>
      <xdr:col>2</xdr:col>
      <xdr:colOff>90369</xdr:colOff>
      <xdr:row>216</xdr:row>
      <xdr:rowOff>10857</xdr:rowOff>
    </xdr:from>
    <xdr:ext cx="132557" cy="132557"/>
    <xdr:pic>
      <xdr:nvPicPr>
        <xdr:cNvPr id="43" name="Grafik 42">
          <a:extLst>
            <a:ext uri="{FF2B5EF4-FFF2-40B4-BE49-F238E27FC236}">
              <a16:creationId xmlns:a16="http://schemas.microsoft.com/office/drawing/2014/main" id="{033C1303-2AC1-4787-8DB6-67A187FE0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0843282"/>
          <a:ext cx="132557" cy="132557"/>
        </a:xfrm>
        <a:prstGeom prst="rect">
          <a:avLst/>
        </a:prstGeom>
      </xdr:spPr>
    </xdr:pic>
    <xdr:clientData/>
  </xdr:oneCellAnchor>
  <xdr:oneCellAnchor>
    <xdr:from>
      <xdr:col>2</xdr:col>
      <xdr:colOff>90369</xdr:colOff>
      <xdr:row>219</xdr:row>
      <xdr:rowOff>0</xdr:rowOff>
    </xdr:from>
    <xdr:ext cx="132557" cy="132557"/>
    <xdr:pic>
      <xdr:nvPicPr>
        <xdr:cNvPr id="44" name="Grafik 43">
          <a:extLst>
            <a:ext uri="{FF2B5EF4-FFF2-40B4-BE49-F238E27FC236}">
              <a16:creationId xmlns:a16="http://schemas.microsoft.com/office/drawing/2014/main" id="{95A5C339-D309-4487-BCB3-DEE0C0590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1005207"/>
          <a:ext cx="132557" cy="132557"/>
        </a:xfrm>
        <a:prstGeom prst="rect">
          <a:avLst/>
        </a:prstGeom>
      </xdr:spPr>
    </xdr:pic>
    <xdr:clientData/>
  </xdr:oneCellAnchor>
  <xdr:oneCellAnchor>
    <xdr:from>
      <xdr:col>2</xdr:col>
      <xdr:colOff>90369</xdr:colOff>
      <xdr:row>224</xdr:row>
      <xdr:rowOff>10857</xdr:rowOff>
    </xdr:from>
    <xdr:ext cx="132557" cy="132557"/>
    <xdr:pic>
      <xdr:nvPicPr>
        <xdr:cNvPr id="46" name="Grafik 45">
          <a:extLst>
            <a:ext uri="{FF2B5EF4-FFF2-40B4-BE49-F238E27FC236}">
              <a16:creationId xmlns:a16="http://schemas.microsoft.com/office/drawing/2014/main" id="{963E32FA-35F1-4514-A9C2-DAD7FE6E9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2300607"/>
          <a:ext cx="132557" cy="132557"/>
        </a:xfrm>
        <a:prstGeom prst="rect">
          <a:avLst/>
        </a:prstGeom>
      </xdr:spPr>
    </xdr:pic>
    <xdr:clientData/>
  </xdr:oneCellAnchor>
  <xdr:oneCellAnchor>
    <xdr:from>
      <xdr:col>2</xdr:col>
      <xdr:colOff>90369</xdr:colOff>
      <xdr:row>229</xdr:row>
      <xdr:rowOff>10857</xdr:rowOff>
    </xdr:from>
    <xdr:ext cx="132557" cy="132557"/>
    <xdr:pic>
      <xdr:nvPicPr>
        <xdr:cNvPr id="47" name="Grafik 46">
          <a:extLst>
            <a:ext uri="{FF2B5EF4-FFF2-40B4-BE49-F238E27FC236}">
              <a16:creationId xmlns:a16="http://schemas.microsoft.com/office/drawing/2014/main" id="{110A8CF7-2C1E-4780-BE2F-FF4FAFC792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2948307"/>
          <a:ext cx="132557" cy="132557"/>
        </a:xfrm>
        <a:prstGeom prst="rect">
          <a:avLst/>
        </a:prstGeom>
      </xdr:spPr>
    </xdr:pic>
    <xdr:clientData/>
  </xdr:oneCellAnchor>
  <xdr:oneCellAnchor>
    <xdr:from>
      <xdr:col>2</xdr:col>
      <xdr:colOff>90369</xdr:colOff>
      <xdr:row>252</xdr:row>
      <xdr:rowOff>11906</xdr:rowOff>
    </xdr:from>
    <xdr:ext cx="132557" cy="132557"/>
    <xdr:pic>
      <xdr:nvPicPr>
        <xdr:cNvPr id="48" name="Grafik 47">
          <a:extLst>
            <a:ext uri="{FF2B5EF4-FFF2-40B4-BE49-F238E27FC236}">
              <a16:creationId xmlns:a16="http://schemas.microsoft.com/office/drawing/2014/main" id="{5534CF30-285A-459D-A481-A0C08766E0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7728" y="29718000"/>
          <a:ext cx="132557" cy="132557"/>
        </a:xfrm>
        <a:prstGeom prst="rect">
          <a:avLst/>
        </a:prstGeom>
      </xdr:spPr>
    </xdr:pic>
    <xdr:clientData/>
  </xdr:oneCellAnchor>
  <xdr:oneCellAnchor>
    <xdr:from>
      <xdr:col>2</xdr:col>
      <xdr:colOff>90369</xdr:colOff>
      <xdr:row>269</xdr:row>
      <xdr:rowOff>10857</xdr:rowOff>
    </xdr:from>
    <xdr:ext cx="132557" cy="132557"/>
    <xdr:pic>
      <xdr:nvPicPr>
        <xdr:cNvPr id="52" name="Grafik 51">
          <a:extLst>
            <a:ext uri="{FF2B5EF4-FFF2-40B4-BE49-F238E27FC236}">
              <a16:creationId xmlns:a16="http://schemas.microsoft.com/office/drawing/2014/main" id="{BDEC7F24-BD6C-460E-A6EF-BC18D3AAB7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37358382"/>
          <a:ext cx="132557" cy="132557"/>
        </a:xfrm>
        <a:prstGeom prst="rect">
          <a:avLst/>
        </a:prstGeom>
      </xdr:spPr>
    </xdr:pic>
    <xdr:clientData/>
  </xdr:oneCellAnchor>
  <xdr:oneCellAnchor>
    <xdr:from>
      <xdr:col>2</xdr:col>
      <xdr:colOff>90369</xdr:colOff>
      <xdr:row>293</xdr:row>
      <xdr:rowOff>10857</xdr:rowOff>
    </xdr:from>
    <xdr:ext cx="132557" cy="132557"/>
    <xdr:pic>
      <xdr:nvPicPr>
        <xdr:cNvPr id="55" name="Grafik 54">
          <a:extLst>
            <a:ext uri="{FF2B5EF4-FFF2-40B4-BE49-F238E27FC236}">
              <a16:creationId xmlns:a16="http://schemas.microsoft.com/office/drawing/2014/main" id="{E2754728-B217-4FE2-A147-533A90A9B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41568432"/>
          <a:ext cx="132557" cy="132557"/>
        </a:xfrm>
        <a:prstGeom prst="rect">
          <a:avLst/>
        </a:prstGeom>
      </xdr:spPr>
    </xdr:pic>
    <xdr:clientData/>
  </xdr:oneCellAnchor>
  <xdr:oneCellAnchor>
    <xdr:from>
      <xdr:col>2</xdr:col>
      <xdr:colOff>90369</xdr:colOff>
      <xdr:row>298</xdr:row>
      <xdr:rowOff>10857</xdr:rowOff>
    </xdr:from>
    <xdr:ext cx="132557" cy="132557"/>
    <xdr:pic>
      <xdr:nvPicPr>
        <xdr:cNvPr id="56" name="Grafik 55">
          <a:extLst>
            <a:ext uri="{FF2B5EF4-FFF2-40B4-BE49-F238E27FC236}">
              <a16:creationId xmlns:a16="http://schemas.microsoft.com/office/drawing/2014/main" id="{546AA1CB-3FD6-4976-BF99-7C35CAB4F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41892282"/>
          <a:ext cx="132557" cy="132557"/>
        </a:xfrm>
        <a:prstGeom prst="rect">
          <a:avLst/>
        </a:prstGeom>
      </xdr:spPr>
    </xdr:pic>
    <xdr:clientData/>
  </xdr:oneCellAnchor>
  <xdr:oneCellAnchor>
    <xdr:from>
      <xdr:col>2</xdr:col>
      <xdr:colOff>90369</xdr:colOff>
      <xdr:row>299</xdr:row>
      <xdr:rowOff>10857</xdr:rowOff>
    </xdr:from>
    <xdr:ext cx="132557" cy="132557"/>
    <xdr:pic>
      <xdr:nvPicPr>
        <xdr:cNvPr id="57" name="Grafik 56">
          <a:extLst>
            <a:ext uri="{FF2B5EF4-FFF2-40B4-BE49-F238E27FC236}">
              <a16:creationId xmlns:a16="http://schemas.microsoft.com/office/drawing/2014/main" id="{1B493573-F9E7-4E45-B0A3-9F5603E35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42054207"/>
          <a:ext cx="132557" cy="132557"/>
        </a:xfrm>
        <a:prstGeom prst="rect">
          <a:avLst/>
        </a:prstGeom>
      </xdr:spPr>
    </xdr:pic>
    <xdr:clientData/>
  </xdr:oneCellAnchor>
  <xdr:oneCellAnchor>
    <xdr:from>
      <xdr:col>2</xdr:col>
      <xdr:colOff>90369</xdr:colOff>
      <xdr:row>310</xdr:row>
      <xdr:rowOff>10857</xdr:rowOff>
    </xdr:from>
    <xdr:ext cx="132557" cy="132557"/>
    <xdr:pic>
      <xdr:nvPicPr>
        <xdr:cNvPr id="59" name="Grafik 58">
          <a:extLst>
            <a:ext uri="{FF2B5EF4-FFF2-40B4-BE49-F238E27FC236}">
              <a16:creationId xmlns:a16="http://schemas.microsoft.com/office/drawing/2014/main" id="{A0D7FAE0-5920-499A-82AA-D7A3C7C32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44206857"/>
          <a:ext cx="132557" cy="132557"/>
        </a:xfrm>
        <a:prstGeom prst="rect">
          <a:avLst/>
        </a:prstGeom>
      </xdr:spPr>
    </xdr:pic>
    <xdr:clientData/>
  </xdr:oneCellAnchor>
  <xdr:oneCellAnchor>
    <xdr:from>
      <xdr:col>2</xdr:col>
      <xdr:colOff>90369</xdr:colOff>
      <xdr:row>338</xdr:row>
      <xdr:rowOff>0</xdr:rowOff>
    </xdr:from>
    <xdr:ext cx="132557" cy="132557"/>
    <xdr:pic>
      <xdr:nvPicPr>
        <xdr:cNvPr id="66" name="Grafik 65">
          <a:extLst>
            <a:ext uri="{FF2B5EF4-FFF2-40B4-BE49-F238E27FC236}">
              <a16:creationId xmlns:a16="http://schemas.microsoft.com/office/drawing/2014/main" id="{058904AA-0A0A-4340-8953-AFDCF94B83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49064607"/>
          <a:ext cx="132557" cy="132557"/>
        </a:xfrm>
        <a:prstGeom prst="rect">
          <a:avLst/>
        </a:prstGeom>
      </xdr:spPr>
    </xdr:pic>
    <xdr:clientData/>
  </xdr:oneCellAnchor>
  <xdr:oneCellAnchor>
    <xdr:from>
      <xdr:col>2</xdr:col>
      <xdr:colOff>90369</xdr:colOff>
      <xdr:row>348</xdr:row>
      <xdr:rowOff>10857</xdr:rowOff>
    </xdr:from>
    <xdr:ext cx="132557" cy="132557"/>
    <xdr:pic>
      <xdr:nvPicPr>
        <xdr:cNvPr id="72" name="Grafik 71">
          <a:extLst>
            <a:ext uri="{FF2B5EF4-FFF2-40B4-BE49-F238E27FC236}">
              <a16:creationId xmlns:a16="http://schemas.microsoft.com/office/drawing/2014/main" id="{81217CCC-F976-478A-92AC-DF54555D6A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50845782"/>
          <a:ext cx="132557" cy="132557"/>
        </a:xfrm>
        <a:prstGeom prst="rect">
          <a:avLst/>
        </a:prstGeom>
      </xdr:spPr>
    </xdr:pic>
    <xdr:clientData/>
  </xdr:oneCellAnchor>
  <xdr:oneCellAnchor>
    <xdr:from>
      <xdr:col>2</xdr:col>
      <xdr:colOff>90369</xdr:colOff>
      <xdr:row>400</xdr:row>
      <xdr:rowOff>10857</xdr:rowOff>
    </xdr:from>
    <xdr:ext cx="132557" cy="132557"/>
    <xdr:pic>
      <xdr:nvPicPr>
        <xdr:cNvPr id="80" name="Grafik 79">
          <a:extLst>
            <a:ext uri="{FF2B5EF4-FFF2-40B4-BE49-F238E27FC236}">
              <a16:creationId xmlns:a16="http://schemas.microsoft.com/office/drawing/2014/main" id="{8E008083-C89E-458B-8FB4-F511307F0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57484707"/>
          <a:ext cx="132557" cy="132557"/>
        </a:xfrm>
        <a:prstGeom prst="rect">
          <a:avLst/>
        </a:prstGeom>
      </xdr:spPr>
    </xdr:pic>
    <xdr:clientData/>
  </xdr:oneCellAnchor>
  <xdr:oneCellAnchor>
    <xdr:from>
      <xdr:col>2</xdr:col>
      <xdr:colOff>90369</xdr:colOff>
      <xdr:row>404</xdr:row>
      <xdr:rowOff>0</xdr:rowOff>
    </xdr:from>
    <xdr:ext cx="132557" cy="132557"/>
    <xdr:pic>
      <xdr:nvPicPr>
        <xdr:cNvPr id="82" name="Grafik 81">
          <a:extLst>
            <a:ext uri="{FF2B5EF4-FFF2-40B4-BE49-F238E27FC236}">
              <a16:creationId xmlns:a16="http://schemas.microsoft.com/office/drawing/2014/main" id="{BCB75995-3BFC-4CE6-BDF4-04A18418C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58132407"/>
          <a:ext cx="132557" cy="132557"/>
        </a:xfrm>
        <a:prstGeom prst="rect">
          <a:avLst/>
        </a:prstGeom>
      </xdr:spPr>
    </xdr:pic>
    <xdr:clientData/>
  </xdr:oneCellAnchor>
  <xdr:oneCellAnchor>
    <xdr:from>
      <xdr:col>2</xdr:col>
      <xdr:colOff>90369</xdr:colOff>
      <xdr:row>422</xdr:row>
      <xdr:rowOff>0</xdr:rowOff>
    </xdr:from>
    <xdr:ext cx="132557" cy="132557"/>
    <xdr:pic>
      <xdr:nvPicPr>
        <xdr:cNvPr id="84" name="Grafik 83">
          <a:extLst>
            <a:ext uri="{FF2B5EF4-FFF2-40B4-BE49-F238E27FC236}">
              <a16:creationId xmlns:a16="http://schemas.microsoft.com/office/drawing/2014/main" id="{A2BE6026-C69F-439E-8841-9774D76F96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59589732"/>
          <a:ext cx="132557" cy="132557"/>
        </a:xfrm>
        <a:prstGeom prst="rect">
          <a:avLst/>
        </a:prstGeom>
      </xdr:spPr>
    </xdr:pic>
    <xdr:clientData/>
  </xdr:oneCellAnchor>
  <xdr:oneCellAnchor>
    <xdr:from>
      <xdr:col>2</xdr:col>
      <xdr:colOff>90369</xdr:colOff>
      <xdr:row>439</xdr:row>
      <xdr:rowOff>10857</xdr:rowOff>
    </xdr:from>
    <xdr:ext cx="132557" cy="132557"/>
    <xdr:pic>
      <xdr:nvPicPr>
        <xdr:cNvPr id="87" name="Grafik 86">
          <a:extLst>
            <a:ext uri="{FF2B5EF4-FFF2-40B4-BE49-F238E27FC236}">
              <a16:creationId xmlns:a16="http://schemas.microsoft.com/office/drawing/2014/main" id="{3604C542-3EA7-4816-8844-90A8F6FC9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61208982"/>
          <a:ext cx="132557" cy="132557"/>
        </a:xfrm>
        <a:prstGeom prst="rect">
          <a:avLst/>
        </a:prstGeom>
      </xdr:spPr>
    </xdr:pic>
    <xdr:clientData/>
  </xdr:oneCellAnchor>
  <xdr:oneCellAnchor>
    <xdr:from>
      <xdr:col>2</xdr:col>
      <xdr:colOff>90369</xdr:colOff>
      <xdr:row>451</xdr:row>
      <xdr:rowOff>10857</xdr:rowOff>
    </xdr:from>
    <xdr:ext cx="132557" cy="132557"/>
    <xdr:pic>
      <xdr:nvPicPr>
        <xdr:cNvPr id="88" name="Grafik 87">
          <a:extLst>
            <a:ext uri="{FF2B5EF4-FFF2-40B4-BE49-F238E27FC236}">
              <a16:creationId xmlns:a16="http://schemas.microsoft.com/office/drawing/2014/main" id="{6B5FE2A2-FA74-409F-B015-C1B1DD315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62990157"/>
          <a:ext cx="132557" cy="132557"/>
        </a:xfrm>
        <a:prstGeom prst="rect">
          <a:avLst/>
        </a:prstGeom>
      </xdr:spPr>
    </xdr:pic>
    <xdr:clientData/>
  </xdr:oneCellAnchor>
  <xdr:oneCellAnchor>
    <xdr:from>
      <xdr:col>2</xdr:col>
      <xdr:colOff>90369</xdr:colOff>
      <xdr:row>488</xdr:row>
      <xdr:rowOff>0</xdr:rowOff>
    </xdr:from>
    <xdr:ext cx="132557" cy="132557"/>
    <xdr:pic>
      <xdr:nvPicPr>
        <xdr:cNvPr id="90" name="Grafik 89">
          <a:extLst>
            <a:ext uri="{FF2B5EF4-FFF2-40B4-BE49-F238E27FC236}">
              <a16:creationId xmlns:a16="http://schemas.microsoft.com/office/drawing/2014/main" id="{6699464F-DDA0-4A04-89DA-E0B40B737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68895657"/>
          <a:ext cx="132557" cy="132557"/>
        </a:xfrm>
        <a:prstGeom prst="rect">
          <a:avLst/>
        </a:prstGeom>
      </xdr:spPr>
    </xdr:pic>
    <xdr:clientData/>
  </xdr:oneCellAnchor>
  <xdr:oneCellAnchor>
    <xdr:from>
      <xdr:col>2</xdr:col>
      <xdr:colOff>90369</xdr:colOff>
      <xdr:row>579</xdr:row>
      <xdr:rowOff>10857</xdr:rowOff>
    </xdr:from>
    <xdr:ext cx="132557" cy="132557"/>
    <xdr:pic>
      <xdr:nvPicPr>
        <xdr:cNvPr id="93" name="Grafik 92">
          <a:extLst>
            <a:ext uri="{FF2B5EF4-FFF2-40B4-BE49-F238E27FC236}">
              <a16:creationId xmlns:a16="http://schemas.microsoft.com/office/drawing/2014/main" id="{9DCEB028-9559-431C-A078-8558703B4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7044" y="76525182"/>
          <a:ext cx="132557" cy="132557"/>
        </a:xfrm>
        <a:prstGeom prst="rect">
          <a:avLst/>
        </a:prstGeom>
      </xdr:spPr>
    </xdr:pic>
    <xdr:clientData/>
  </xdr:oneCellAnchor>
  <xdr:twoCellAnchor>
    <xdr:from>
      <xdr:col>0</xdr:col>
      <xdr:colOff>26234</xdr:colOff>
      <xdr:row>7</xdr:row>
      <xdr:rowOff>54429</xdr:rowOff>
    </xdr:from>
    <xdr:to>
      <xdr:col>0</xdr:col>
      <xdr:colOff>153562</xdr:colOff>
      <xdr:row>7</xdr:row>
      <xdr:rowOff>175748</xdr:rowOff>
    </xdr:to>
    <xdr:pic>
      <xdr:nvPicPr>
        <xdr:cNvPr id="95" name="Grafik 94">
          <a:extLst>
            <a:ext uri="{FF2B5EF4-FFF2-40B4-BE49-F238E27FC236}">
              <a16:creationId xmlns:a16="http://schemas.microsoft.com/office/drawing/2014/main" id="{D1DEC6D0-760C-4C48-9099-B2F912D9E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34" y="1464129"/>
          <a:ext cx="127328" cy="121319"/>
        </a:xfrm>
        <a:prstGeom prst="rect">
          <a:avLst/>
        </a:prstGeom>
      </xdr:spPr>
    </xdr:pic>
    <xdr:clientData/>
  </xdr:twoCellAnchor>
  <xdr:oneCellAnchor>
    <xdr:from>
      <xdr:col>2</xdr:col>
      <xdr:colOff>90369</xdr:colOff>
      <xdr:row>49</xdr:row>
      <xdr:rowOff>0</xdr:rowOff>
    </xdr:from>
    <xdr:ext cx="132557" cy="132557"/>
    <xdr:pic>
      <xdr:nvPicPr>
        <xdr:cNvPr id="100" name="Grafik 99">
          <a:extLst>
            <a:ext uri="{FF2B5EF4-FFF2-40B4-BE49-F238E27FC236}">
              <a16:creationId xmlns:a16="http://schemas.microsoft.com/office/drawing/2014/main" id="{306BC284-E1C8-40FC-9D60-6322BEC0E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6630" y="9444748"/>
          <a:ext cx="132557" cy="132557"/>
        </a:xfrm>
        <a:prstGeom prst="rect">
          <a:avLst/>
        </a:prstGeom>
      </xdr:spPr>
    </xdr:pic>
    <xdr:clientData/>
  </xdr:oneCellAnchor>
  <xdr:oneCellAnchor>
    <xdr:from>
      <xdr:col>2</xdr:col>
      <xdr:colOff>90369</xdr:colOff>
      <xdr:row>83</xdr:row>
      <xdr:rowOff>0</xdr:rowOff>
    </xdr:from>
    <xdr:ext cx="132557" cy="132557"/>
    <xdr:pic>
      <xdr:nvPicPr>
        <xdr:cNvPr id="104" name="Grafik 103">
          <a:extLst>
            <a:ext uri="{FF2B5EF4-FFF2-40B4-BE49-F238E27FC236}">
              <a16:creationId xmlns:a16="http://schemas.microsoft.com/office/drawing/2014/main" id="{B18FC6AC-F257-4AEC-8F53-20C3AA606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5853" y="11839716"/>
          <a:ext cx="132557" cy="132557"/>
        </a:xfrm>
        <a:prstGeom prst="rect">
          <a:avLst/>
        </a:prstGeom>
      </xdr:spPr>
    </xdr:pic>
    <xdr:clientData/>
  </xdr:oneCellAnchor>
  <xdr:oneCellAnchor>
    <xdr:from>
      <xdr:col>2</xdr:col>
      <xdr:colOff>90369</xdr:colOff>
      <xdr:row>312</xdr:row>
      <xdr:rowOff>10857</xdr:rowOff>
    </xdr:from>
    <xdr:ext cx="132557" cy="132557"/>
    <xdr:pic>
      <xdr:nvPicPr>
        <xdr:cNvPr id="111" name="Grafik 110">
          <a:extLst>
            <a:ext uri="{FF2B5EF4-FFF2-40B4-BE49-F238E27FC236}">
              <a16:creationId xmlns:a16="http://schemas.microsoft.com/office/drawing/2014/main" id="{E377C86D-0311-4CF4-B99E-AB717221A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6311" y="46141165"/>
          <a:ext cx="132557" cy="132557"/>
        </a:xfrm>
        <a:prstGeom prst="rect">
          <a:avLst/>
        </a:prstGeom>
      </xdr:spPr>
    </xdr:pic>
    <xdr:clientData/>
  </xdr:oneCellAnchor>
  <xdr:oneCellAnchor>
    <xdr:from>
      <xdr:col>2</xdr:col>
      <xdr:colOff>90369</xdr:colOff>
      <xdr:row>327</xdr:row>
      <xdr:rowOff>10857</xdr:rowOff>
    </xdr:from>
    <xdr:ext cx="132557" cy="132557"/>
    <xdr:pic>
      <xdr:nvPicPr>
        <xdr:cNvPr id="115" name="Grafik 114">
          <a:extLst>
            <a:ext uri="{FF2B5EF4-FFF2-40B4-BE49-F238E27FC236}">
              <a16:creationId xmlns:a16="http://schemas.microsoft.com/office/drawing/2014/main" id="{ABAD43BD-DEE4-43AB-BA7F-8659C9FBA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6311" y="48236665"/>
          <a:ext cx="132557" cy="132557"/>
        </a:xfrm>
        <a:prstGeom prst="rect">
          <a:avLst/>
        </a:prstGeom>
      </xdr:spPr>
    </xdr:pic>
    <xdr:clientData/>
  </xdr:oneCellAnchor>
  <xdr:oneCellAnchor>
    <xdr:from>
      <xdr:col>2</xdr:col>
      <xdr:colOff>90369</xdr:colOff>
      <xdr:row>447</xdr:row>
      <xdr:rowOff>10857</xdr:rowOff>
    </xdr:from>
    <xdr:ext cx="132557" cy="132557"/>
    <xdr:pic>
      <xdr:nvPicPr>
        <xdr:cNvPr id="118" name="Grafik 117">
          <a:extLst>
            <a:ext uri="{FF2B5EF4-FFF2-40B4-BE49-F238E27FC236}">
              <a16:creationId xmlns:a16="http://schemas.microsoft.com/office/drawing/2014/main" id="{E122D48E-4479-4AD2-A5FC-49D18902E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6311" y="64517088"/>
          <a:ext cx="132557" cy="132557"/>
        </a:xfrm>
        <a:prstGeom prst="rect">
          <a:avLst/>
        </a:prstGeom>
      </xdr:spPr>
    </xdr:pic>
    <xdr:clientData/>
  </xdr:oneCellAnchor>
  <xdr:oneCellAnchor>
    <xdr:from>
      <xdr:col>2</xdr:col>
      <xdr:colOff>90369</xdr:colOff>
      <xdr:row>423</xdr:row>
      <xdr:rowOff>10857</xdr:rowOff>
    </xdr:from>
    <xdr:ext cx="132557" cy="132557"/>
    <xdr:pic>
      <xdr:nvPicPr>
        <xdr:cNvPr id="119" name="Grafik 118">
          <a:extLst>
            <a:ext uri="{FF2B5EF4-FFF2-40B4-BE49-F238E27FC236}">
              <a16:creationId xmlns:a16="http://schemas.microsoft.com/office/drawing/2014/main" id="{D99D8559-D111-4432-8DE0-5C820ADA0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6311" y="61132049"/>
          <a:ext cx="132557" cy="132557"/>
        </a:xfrm>
        <a:prstGeom prst="rect">
          <a:avLst/>
        </a:prstGeom>
      </xdr:spPr>
    </xdr:pic>
    <xdr:clientData/>
  </xdr:oneCellAnchor>
  <xdr:oneCellAnchor>
    <xdr:from>
      <xdr:col>2</xdr:col>
      <xdr:colOff>90369</xdr:colOff>
      <xdr:row>428</xdr:row>
      <xdr:rowOff>0</xdr:rowOff>
    </xdr:from>
    <xdr:ext cx="132557" cy="132557"/>
    <xdr:pic>
      <xdr:nvPicPr>
        <xdr:cNvPr id="120" name="Grafik 119">
          <a:extLst>
            <a:ext uri="{FF2B5EF4-FFF2-40B4-BE49-F238E27FC236}">
              <a16:creationId xmlns:a16="http://schemas.microsoft.com/office/drawing/2014/main" id="{E535E40B-5D2B-4FD5-BCEC-96EEDE04E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6311" y="61293242"/>
          <a:ext cx="132557" cy="132557"/>
        </a:xfrm>
        <a:prstGeom prst="rect">
          <a:avLst/>
        </a:prstGeom>
      </xdr:spPr>
    </xdr:pic>
    <xdr:clientData/>
  </xdr:oneCellAnchor>
  <xdr:oneCellAnchor>
    <xdr:from>
      <xdr:col>2</xdr:col>
      <xdr:colOff>90369</xdr:colOff>
      <xdr:row>193</xdr:row>
      <xdr:rowOff>0</xdr:rowOff>
    </xdr:from>
    <xdr:ext cx="132557" cy="132557"/>
    <xdr:pic>
      <xdr:nvPicPr>
        <xdr:cNvPr id="97" name="Grafik 96">
          <a:extLst>
            <a:ext uri="{FF2B5EF4-FFF2-40B4-BE49-F238E27FC236}">
              <a16:creationId xmlns:a16="http://schemas.microsoft.com/office/drawing/2014/main" id="{FFB90B6C-DEE5-42F5-8BAC-51DDCFE1A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8919" y="26490357"/>
          <a:ext cx="132557" cy="132557"/>
        </a:xfrm>
        <a:prstGeom prst="rect">
          <a:avLst/>
        </a:prstGeom>
      </xdr:spPr>
    </xdr:pic>
    <xdr:clientData/>
  </xdr:oneCellAnchor>
  <xdr:oneCellAnchor>
    <xdr:from>
      <xdr:col>2</xdr:col>
      <xdr:colOff>90369</xdr:colOff>
      <xdr:row>223</xdr:row>
      <xdr:rowOff>10857</xdr:rowOff>
    </xdr:from>
    <xdr:ext cx="132557" cy="132557"/>
    <xdr:pic>
      <xdr:nvPicPr>
        <xdr:cNvPr id="122" name="Grafik 121">
          <a:extLst>
            <a:ext uri="{FF2B5EF4-FFF2-40B4-BE49-F238E27FC236}">
              <a16:creationId xmlns:a16="http://schemas.microsoft.com/office/drawing/2014/main" id="{93B9D0FF-A456-4F9E-9CCE-EA3E8716A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8919" y="30862332"/>
          <a:ext cx="132557" cy="132557"/>
        </a:xfrm>
        <a:prstGeom prst="rect">
          <a:avLst/>
        </a:prstGeom>
      </xdr:spPr>
    </xdr:pic>
    <xdr:clientData/>
  </xdr:oneCellAnchor>
  <xdr:oneCellAnchor>
    <xdr:from>
      <xdr:col>2</xdr:col>
      <xdr:colOff>90369</xdr:colOff>
      <xdr:row>330</xdr:row>
      <xdr:rowOff>10857</xdr:rowOff>
    </xdr:from>
    <xdr:ext cx="132557" cy="132557"/>
    <xdr:pic>
      <xdr:nvPicPr>
        <xdr:cNvPr id="123" name="Grafik 122">
          <a:extLst>
            <a:ext uri="{FF2B5EF4-FFF2-40B4-BE49-F238E27FC236}">
              <a16:creationId xmlns:a16="http://schemas.microsoft.com/office/drawing/2014/main" id="{EF808874-5B88-4A51-8F7A-C6D4A2C1D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8919" y="48759807"/>
          <a:ext cx="132557" cy="132557"/>
        </a:xfrm>
        <a:prstGeom prst="rect">
          <a:avLst/>
        </a:prstGeom>
      </xdr:spPr>
    </xdr:pic>
    <xdr:clientData/>
  </xdr:oneCellAnchor>
  <xdr:oneCellAnchor>
    <xdr:from>
      <xdr:col>2</xdr:col>
      <xdr:colOff>90369</xdr:colOff>
      <xdr:row>590</xdr:row>
      <xdr:rowOff>0</xdr:rowOff>
    </xdr:from>
    <xdr:ext cx="132557" cy="132557"/>
    <xdr:pic>
      <xdr:nvPicPr>
        <xdr:cNvPr id="130" name="Grafik 129">
          <a:extLst>
            <a:ext uri="{FF2B5EF4-FFF2-40B4-BE49-F238E27FC236}">
              <a16:creationId xmlns:a16="http://schemas.microsoft.com/office/drawing/2014/main" id="{0DCC28DC-D382-4126-A30E-CA7D63ECD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8919" y="81078132"/>
          <a:ext cx="132557" cy="132557"/>
        </a:xfrm>
        <a:prstGeom prst="rect">
          <a:avLst/>
        </a:prstGeom>
      </xdr:spPr>
    </xdr:pic>
    <xdr:clientData/>
  </xdr:oneCellAnchor>
  <xdr:oneCellAnchor>
    <xdr:from>
      <xdr:col>2</xdr:col>
      <xdr:colOff>90369</xdr:colOff>
      <xdr:row>310</xdr:row>
      <xdr:rowOff>0</xdr:rowOff>
    </xdr:from>
    <xdr:ext cx="132557" cy="132557"/>
    <xdr:pic>
      <xdr:nvPicPr>
        <xdr:cNvPr id="51" name="Grafik 50">
          <a:extLst>
            <a:ext uri="{FF2B5EF4-FFF2-40B4-BE49-F238E27FC236}">
              <a16:creationId xmlns:a16="http://schemas.microsoft.com/office/drawing/2014/main" id="{3C080B66-F885-4AA5-9756-AE0F49B8A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4523" y="44543895"/>
          <a:ext cx="132557" cy="132557"/>
        </a:xfrm>
        <a:prstGeom prst="rect">
          <a:avLst/>
        </a:prstGeom>
      </xdr:spPr>
    </xdr:pic>
    <xdr:clientData/>
  </xdr:oneCellAnchor>
  <xdr:oneCellAnchor>
    <xdr:from>
      <xdr:col>2</xdr:col>
      <xdr:colOff>90369</xdr:colOff>
      <xdr:row>595</xdr:row>
      <xdr:rowOff>10857</xdr:rowOff>
    </xdr:from>
    <xdr:ext cx="132557" cy="132557"/>
    <xdr:pic>
      <xdr:nvPicPr>
        <xdr:cNvPr id="129" name="Grafik 128">
          <a:extLst>
            <a:ext uri="{FF2B5EF4-FFF2-40B4-BE49-F238E27FC236}">
              <a16:creationId xmlns:a16="http://schemas.microsoft.com/office/drawing/2014/main" id="{085C4384-8E40-4F5E-A0FF-88DBE1DC97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4523" y="81559511"/>
          <a:ext cx="132557" cy="132557"/>
        </a:xfrm>
        <a:prstGeom prst="rect">
          <a:avLst/>
        </a:prstGeom>
      </xdr:spPr>
    </xdr:pic>
    <xdr:clientData/>
  </xdr:oneCellAnchor>
  <xdr:oneCellAnchor>
    <xdr:from>
      <xdr:col>2</xdr:col>
      <xdr:colOff>99396</xdr:colOff>
      <xdr:row>52</xdr:row>
      <xdr:rowOff>0</xdr:rowOff>
    </xdr:from>
    <xdr:ext cx="132557" cy="132557"/>
    <xdr:pic>
      <xdr:nvPicPr>
        <xdr:cNvPr id="17" name="Grafik 16">
          <a:extLst>
            <a:ext uri="{FF2B5EF4-FFF2-40B4-BE49-F238E27FC236}">
              <a16:creationId xmlns:a16="http://schemas.microsoft.com/office/drawing/2014/main" id="{85819D04-8AC1-4792-BA32-E2F8F79B43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3744" y="36791348"/>
          <a:ext cx="132557" cy="132557"/>
        </a:xfrm>
        <a:prstGeom prst="rect">
          <a:avLst/>
        </a:prstGeom>
      </xdr:spPr>
    </xdr:pic>
    <xdr:clientData/>
  </xdr:oneCellAnchor>
  <xdr:oneCellAnchor>
    <xdr:from>
      <xdr:col>2</xdr:col>
      <xdr:colOff>102578</xdr:colOff>
      <xdr:row>389</xdr:row>
      <xdr:rowOff>5953</xdr:rowOff>
    </xdr:from>
    <xdr:ext cx="132557" cy="132557"/>
    <xdr:pic>
      <xdr:nvPicPr>
        <xdr:cNvPr id="138" name="Grafik 137">
          <a:extLst>
            <a:ext uri="{FF2B5EF4-FFF2-40B4-BE49-F238E27FC236}">
              <a16:creationId xmlns:a16="http://schemas.microsoft.com/office/drawing/2014/main" id="{B27EDFEE-B069-4059-8068-F589BF54A1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9937" y="49095422"/>
          <a:ext cx="132557" cy="132557"/>
        </a:xfrm>
        <a:prstGeom prst="rect">
          <a:avLst/>
        </a:prstGeom>
      </xdr:spPr>
    </xdr:pic>
    <xdr:clientData/>
  </xdr:oneCellAnchor>
  <xdr:oneCellAnchor>
    <xdr:from>
      <xdr:col>2</xdr:col>
      <xdr:colOff>95251</xdr:colOff>
      <xdr:row>429</xdr:row>
      <xdr:rowOff>0</xdr:rowOff>
    </xdr:from>
    <xdr:ext cx="132557" cy="132557"/>
    <xdr:pic>
      <xdr:nvPicPr>
        <xdr:cNvPr id="139" name="Grafik 138">
          <a:extLst>
            <a:ext uri="{FF2B5EF4-FFF2-40B4-BE49-F238E27FC236}">
              <a16:creationId xmlns:a16="http://schemas.microsoft.com/office/drawing/2014/main" id="{41F9A9FF-EA70-4639-9489-D6E4EB785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9405" y="64198500"/>
          <a:ext cx="132557" cy="132557"/>
        </a:xfrm>
        <a:prstGeom prst="rect">
          <a:avLst/>
        </a:prstGeom>
      </xdr:spPr>
    </xdr:pic>
    <xdr:clientData/>
  </xdr:oneCellAnchor>
  <xdr:oneCellAnchor>
    <xdr:from>
      <xdr:col>2</xdr:col>
      <xdr:colOff>90369</xdr:colOff>
      <xdr:row>33</xdr:row>
      <xdr:rowOff>0</xdr:rowOff>
    </xdr:from>
    <xdr:ext cx="132557" cy="132557"/>
    <xdr:pic>
      <xdr:nvPicPr>
        <xdr:cNvPr id="7" name="Grafik 6">
          <a:extLst>
            <a:ext uri="{FF2B5EF4-FFF2-40B4-BE49-F238E27FC236}">
              <a16:creationId xmlns:a16="http://schemas.microsoft.com/office/drawing/2014/main" id="{EB6B1401-2279-4A7D-9A8D-4CC7BA0E4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9576" y="6796598"/>
          <a:ext cx="132557" cy="132557"/>
        </a:xfrm>
        <a:prstGeom prst="rect">
          <a:avLst/>
        </a:prstGeom>
      </xdr:spPr>
    </xdr:pic>
    <xdr:clientData/>
  </xdr:oneCellAnchor>
  <xdr:oneCellAnchor>
    <xdr:from>
      <xdr:col>2</xdr:col>
      <xdr:colOff>90369</xdr:colOff>
      <xdr:row>433</xdr:row>
      <xdr:rowOff>0</xdr:rowOff>
    </xdr:from>
    <xdr:ext cx="132557" cy="132557"/>
    <xdr:pic>
      <xdr:nvPicPr>
        <xdr:cNvPr id="58" name="Grafik 57">
          <a:extLst>
            <a:ext uri="{FF2B5EF4-FFF2-40B4-BE49-F238E27FC236}">
              <a16:creationId xmlns:a16="http://schemas.microsoft.com/office/drawing/2014/main" id="{487EE690-2CB8-419B-99AC-A832CC7AB5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9576" y="67960236"/>
          <a:ext cx="132557" cy="132557"/>
        </a:xfrm>
        <a:prstGeom prst="rect">
          <a:avLst/>
        </a:prstGeom>
      </xdr:spPr>
    </xdr:pic>
    <xdr:clientData/>
  </xdr:oneCellAnchor>
  <xdr:oneCellAnchor>
    <xdr:from>
      <xdr:col>2</xdr:col>
      <xdr:colOff>90369</xdr:colOff>
      <xdr:row>418</xdr:row>
      <xdr:rowOff>10857</xdr:rowOff>
    </xdr:from>
    <xdr:ext cx="132557" cy="132557"/>
    <xdr:pic>
      <xdr:nvPicPr>
        <xdr:cNvPr id="6" name="Grafik 5">
          <a:extLst>
            <a:ext uri="{FF2B5EF4-FFF2-40B4-BE49-F238E27FC236}">
              <a16:creationId xmlns:a16="http://schemas.microsoft.com/office/drawing/2014/main" id="{4547FA6F-53B6-4B6A-8FB0-31331ED0C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7728" y="52315013"/>
          <a:ext cx="132557" cy="132557"/>
        </a:xfrm>
        <a:prstGeom prst="rect">
          <a:avLst/>
        </a:prstGeom>
      </xdr:spPr>
    </xdr:pic>
    <xdr:clientData/>
  </xdr:oneCellAnchor>
  <xdr:oneCellAnchor>
    <xdr:from>
      <xdr:col>2</xdr:col>
      <xdr:colOff>83517</xdr:colOff>
      <xdr:row>451</xdr:row>
      <xdr:rowOff>13705</xdr:rowOff>
    </xdr:from>
    <xdr:ext cx="132557" cy="132557"/>
    <xdr:pic>
      <xdr:nvPicPr>
        <xdr:cNvPr id="9" name="Grafik 8">
          <a:extLst>
            <a:ext uri="{FF2B5EF4-FFF2-40B4-BE49-F238E27FC236}">
              <a16:creationId xmlns:a16="http://schemas.microsoft.com/office/drawing/2014/main" id="{08711F20-2D4A-4A69-A2CF-DE6678213D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654" y="71355270"/>
          <a:ext cx="132557" cy="132557"/>
        </a:xfrm>
        <a:prstGeom prst="rect">
          <a:avLst/>
        </a:prstGeom>
      </xdr:spPr>
    </xdr:pic>
    <xdr:clientData/>
  </xdr:oneCellAnchor>
  <xdr:oneCellAnchor>
    <xdr:from>
      <xdr:col>2</xdr:col>
      <xdr:colOff>90369</xdr:colOff>
      <xdr:row>244</xdr:row>
      <xdr:rowOff>10857</xdr:rowOff>
    </xdr:from>
    <xdr:ext cx="132557" cy="132557"/>
    <xdr:pic>
      <xdr:nvPicPr>
        <xdr:cNvPr id="4" name="Grafik 3">
          <a:extLst>
            <a:ext uri="{FF2B5EF4-FFF2-40B4-BE49-F238E27FC236}">
              <a16:creationId xmlns:a16="http://schemas.microsoft.com/office/drawing/2014/main" id="{1377F0FC-1D18-43E3-80A0-06985FACB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7728" y="29395482"/>
          <a:ext cx="132557" cy="132557"/>
        </a:xfrm>
        <a:prstGeom prst="rect">
          <a:avLst/>
        </a:prstGeom>
      </xdr:spPr>
    </xdr:pic>
    <xdr:clientData/>
  </xdr:oneCellAnchor>
  <xdr:oneCellAnchor>
    <xdr:from>
      <xdr:col>2</xdr:col>
      <xdr:colOff>102578</xdr:colOff>
      <xdr:row>387</xdr:row>
      <xdr:rowOff>5953</xdr:rowOff>
    </xdr:from>
    <xdr:ext cx="132557" cy="132557"/>
    <xdr:pic>
      <xdr:nvPicPr>
        <xdr:cNvPr id="8" name="Grafik 7">
          <a:extLst>
            <a:ext uri="{FF2B5EF4-FFF2-40B4-BE49-F238E27FC236}">
              <a16:creationId xmlns:a16="http://schemas.microsoft.com/office/drawing/2014/main" id="{9CED3CD1-13DC-485E-90A9-17560B796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715" y="61808813"/>
          <a:ext cx="132557" cy="132557"/>
        </a:xfrm>
        <a:prstGeom prst="rect">
          <a:avLst/>
        </a:prstGeom>
      </xdr:spPr>
    </xdr:pic>
    <xdr:clientData/>
  </xdr:oneCellAnchor>
  <xdr:twoCellAnchor>
    <xdr:from>
      <xdr:col>2</xdr:col>
      <xdr:colOff>89083</xdr:colOff>
      <xdr:row>23</xdr:row>
      <xdr:rowOff>13705</xdr:rowOff>
    </xdr:from>
    <xdr:to>
      <xdr:col>2</xdr:col>
      <xdr:colOff>237483</xdr:colOff>
      <xdr:row>23</xdr:row>
      <xdr:rowOff>162105</xdr:rowOff>
    </xdr:to>
    <xdr:pic>
      <xdr:nvPicPr>
        <xdr:cNvPr id="10" name="Grafik 9">
          <a:extLst>
            <a:ext uri="{FF2B5EF4-FFF2-40B4-BE49-F238E27FC236}">
              <a16:creationId xmlns:a16="http://schemas.microsoft.com/office/drawing/2014/main" id="{33C7A7B5-B836-4082-A8D1-F51A7267A5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4193741"/>
          <a:ext cx="148400" cy="148400"/>
        </a:xfrm>
        <a:prstGeom prst="rect">
          <a:avLst/>
        </a:prstGeom>
      </xdr:spPr>
    </xdr:pic>
    <xdr:clientData/>
  </xdr:twoCellAnchor>
  <xdr:oneCellAnchor>
    <xdr:from>
      <xdr:col>2</xdr:col>
      <xdr:colOff>109641</xdr:colOff>
      <xdr:row>59</xdr:row>
      <xdr:rowOff>13705</xdr:rowOff>
    </xdr:from>
    <xdr:ext cx="132557" cy="132557"/>
    <xdr:pic>
      <xdr:nvPicPr>
        <xdr:cNvPr id="11" name="Grafik 10">
          <a:extLst>
            <a:ext uri="{FF2B5EF4-FFF2-40B4-BE49-F238E27FC236}">
              <a16:creationId xmlns:a16="http://schemas.microsoft.com/office/drawing/2014/main" id="{E9736265-B2B3-4E94-8419-B41D9BB99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8" y="9949856"/>
          <a:ext cx="132557" cy="132557"/>
        </a:xfrm>
        <a:prstGeom prst="rect">
          <a:avLst/>
        </a:prstGeom>
      </xdr:spPr>
    </xdr:pic>
    <xdr:clientData/>
  </xdr:oneCellAnchor>
  <xdr:oneCellAnchor>
    <xdr:from>
      <xdr:col>2</xdr:col>
      <xdr:colOff>102788</xdr:colOff>
      <xdr:row>65</xdr:row>
      <xdr:rowOff>13705</xdr:rowOff>
    </xdr:from>
    <xdr:ext cx="132557" cy="132557"/>
    <xdr:pic>
      <xdr:nvPicPr>
        <xdr:cNvPr id="12" name="Grafik 11">
          <a:extLst>
            <a:ext uri="{FF2B5EF4-FFF2-40B4-BE49-F238E27FC236}">
              <a16:creationId xmlns:a16="http://schemas.microsoft.com/office/drawing/2014/main" id="{307217E6-1EF2-44C6-A8D6-A052B4AF9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925" y="10936619"/>
          <a:ext cx="132557" cy="132557"/>
        </a:xfrm>
        <a:prstGeom prst="rect">
          <a:avLst/>
        </a:prstGeom>
      </xdr:spPr>
    </xdr:pic>
    <xdr:clientData/>
  </xdr:oneCellAnchor>
  <xdr:oneCellAnchor>
    <xdr:from>
      <xdr:col>2</xdr:col>
      <xdr:colOff>89083</xdr:colOff>
      <xdr:row>79</xdr:row>
      <xdr:rowOff>20558</xdr:rowOff>
    </xdr:from>
    <xdr:ext cx="132557" cy="132557"/>
    <xdr:pic>
      <xdr:nvPicPr>
        <xdr:cNvPr id="13" name="Grafik 12">
          <a:extLst>
            <a:ext uri="{FF2B5EF4-FFF2-40B4-BE49-F238E27FC236}">
              <a16:creationId xmlns:a16="http://schemas.microsoft.com/office/drawing/2014/main" id="{E69714BE-146A-47CF-AFC9-616DDC399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12916997"/>
          <a:ext cx="132557" cy="132557"/>
        </a:xfrm>
        <a:prstGeom prst="rect">
          <a:avLst/>
        </a:prstGeom>
      </xdr:spPr>
    </xdr:pic>
    <xdr:clientData/>
  </xdr:oneCellAnchor>
  <xdr:oneCellAnchor>
    <xdr:from>
      <xdr:col>2</xdr:col>
      <xdr:colOff>109641</xdr:colOff>
      <xdr:row>95</xdr:row>
      <xdr:rowOff>20558</xdr:rowOff>
    </xdr:from>
    <xdr:ext cx="132557" cy="132557"/>
    <xdr:pic>
      <xdr:nvPicPr>
        <xdr:cNvPr id="14" name="Grafik 13">
          <a:extLst>
            <a:ext uri="{FF2B5EF4-FFF2-40B4-BE49-F238E27FC236}">
              <a16:creationId xmlns:a16="http://schemas.microsoft.com/office/drawing/2014/main" id="{D36BA9CA-697E-4D89-B755-A8E5747CCA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8" y="15548364"/>
          <a:ext cx="132557" cy="132557"/>
        </a:xfrm>
        <a:prstGeom prst="rect">
          <a:avLst/>
        </a:prstGeom>
      </xdr:spPr>
    </xdr:pic>
    <xdr:clientData/>
  </xdr:oneCellAnchor>
  <xdr:oneCellAnchor>
    <xdr:from>
      <xdr:col>2</xdr:col>
      <xdr:colOff>95936</xdr:colOff>
      <xdr:row>113</xdr:row>
      <xdr:rowOff>13705</xdr:rowOff>
    </xdr:from>
    <xdr:ext cx="132557" cy="132557"/>
    <xdr:pic>
      <xdr:nvPicPr>
        <xdr:cNvPr id="15" name="Grafik 14">
          <a:extLst>
            <a:ext uri="{FF2B5EF4-FFF2-40B4-BE49-F238E27FC236}">
              <a16:creationId xmlns:a16="http://schemas.microsoft.com/office/drawing/2014/main" id="{0EC7859E-A663-4E7C-99B7-0DD98BA34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3" y="18172878"/>
          <a:ext cx="132557" cy="132557"/>
        </a:xfrm>
        <a:prstGeom prst="rect">
          <a:avLst/>
        </a:prstGeom>
      </xdr:spPr>
    </xdr:pic>
    <xdr:clientData/>
  </xdr:oneCellAnchor>
  <xdr:oneCellAnchor>
    <xdr:from>
      <xdr:col>2</xdr:col>
      <xdr:colOff>102788</xdr:colOff>
      <xdr:row>124</xdr:row>
      <xdr:rowOff>13705</xdr:rowOff>
    </xdr:from>
    <xdr:ext cx="132557" cy="132557"/>
    <xdr:pic>
      <xdr:nvPicPr>
        <xdr:cNvPr id="16" name="Grafik 15">
          <a:extLst>
            <a:ext uri="{FF2B5EF4-FFF2-40B4-BE49-F238E27FC236}">
              <a16:creationId xmlns:a16="http://schemas.microsoft.com/office/drawing/2014/main" id="{91CCD0F7-37C5-4D26-864B-2BAEEA062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925" y="19817482"/>
          <a:ext cx="132557" cy="132557"/>
        </a:xfrm>
        <a:prstGeom prst="rect">
          <a:avLst/>
        </a:prstGeom>
      </xdr:spPr>
    </xdr:pic>
    <xdr:clientData/>
  </xdr:oneCellAnchor>
  <xdr:oneCellAnchor>
    <xdr:from>
      <xdr:col>2</xdr:col>
      <xdr:colOff>89083</xdr:colOff>
      <xdr:row>349</xdr:row>
      <xdr:rowOff>13705</xdr:rowOff>
    </xdr:from>
    <xdr:ext cx="132557" cy="132557"/>
    <xdr:pic>
      <xdr:nvPicPr>
        <xdr:cNvPr id="18" name="Grafik 17">
          <a:extLst>
            <a:ext uri="{FF2B5EF4-FFF2-40B4-BE49-F238E27FC236}">
              <a16:creationId xmlns:a16="http://schemas.microsoft.com/office/drawing/2014/main" id="{D229F4AA-624B-41F6-B82F-302078251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55073687"/>
          <a:ext cx="132557" cy="132557"/>
        </a:xfrm>
        <a:prstGeom prst="rect">
          <a:avLst/>
        </a:prstGeom>
      </xdr:spPr>
    </xdr:pic>
    <xdr:clientData/>
  </xdr:oneCellAnchor>
  <xdr:oneCellAnchor>
    <xdr:from>
      <xdr:col>2</xdr:col>
      <xdr:colOff>95936</xdr:colOff>
      <xdr:row>138</xdr:row>
      <xdr:rowOff>157608</xdr:rowOff>
    </xdr:from>
    <xdr:ext cx="132557" cy="132557"/>
    <xdr:pic>
      <xdr:nvPicPr>
        <xdr:cNvPr id="19" name="Grafik 18">
          <a:extLst>
            <a:ext uri="{FF2B5EF4-FFF2-40B4-BE49-F238E27FC236}">
              <a16:creationId xmlns:a16="http://schemas.microsoft.com/office/drawing/2014/main" id="{AA407FD3-EBDD-4167-841B-CD9379F8B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3" y="22099371"/>
          <a:ext cx="132557" cy="132557"/>
        </a:xfrm>
        <a:prstGeom prst="rect">
          <a:avLst/>
        </a:prstGeom>
      </xdr:spPr>
    </xdr:pic>
    <xdr:clientData/>
  </xdr:oneCellAnchor>
  <xdr:oneCellAnchor>
    <xdr:from>
      <xdr:col>2</xdr:col>
      <xdr:colOff>102788</xdr:colOff>
      <xdr:row>151</xdr:row>
      <xdr:rowOff>0</xdr:rowOff>
    </xdr:from>
    <xdr:ext cx="132557" cy="132557"/>
    <xdr:pic>
      <xdr:nvPicPr>
        <xdr:cNvPr id="20" name="Grafik 19">
          <a:extLst>
            <a:ext uri="{FF2B5EF4-FFF2-40B4-BE49-F238E27FC236}">
              <a16:creationId xmlns:a16="http://schemas.microsoft.com/office/drawing/2014/main" id="{6D376A47-C5B4-4CE4-BC1B-EC3DD1F69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925" y="23915288"/>
          <a:ext cx="132557" cy="132557"/>
        </a:xfrm>
        <a:prstGeom prst="rect">
          <a:avLst/>
        </a:prstGeom>
      </xdr:spPr>
    </xdr:pic>
    <xdr:clientData/>
  </xdr:oneCellAnchor>
  <xdr:oneCellAnchor>
    <xdr:from>
      <xdr:col>2</xdr:col>
      <xdr:colOff>102788</xdr:colOff>
      <xdr:row>153</xdr:row>
      <xdr:rowOff>20557</xdr:rowOff>
    </xdr:from>
    <xdr:ext cx="132557" cy="132557"/>
    <xdr:pic>
      <xdr:nvPicPr>
        <xdr:cNvPr id="22" name="Grafik 21">
          <a:extLst>
            <a:ext uri="{FF2B5EF4-FFF2-40B4-BE49-F238E27FC236}">
              <a16:creationId xmlns:a16="http://schemas.microsoft.com/office/drawing/2014/main" id="{B868053D-177D-46DA-BB38-50853A739E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925" y="24264766"/>
          <a:ext cx="132557" cy="132557"/>
        </a:xfrm>
        <a:prstGeom prst="rect">
          <a:avLst/>
        </a:prstGeom>
      </xdr:spPr>
    </xdr:pic>
    <xdr:clientData/>
  </xdr:oneCellAnchor>
  <xdr:oneCellAnchor>
    <xdr:from>
      <xdr:col>2</xdr:col>
      <xdr:colOff>82231</xdr:colOff>
      <xdr:row>178</xdr:row>
      <xdr:rowOff>34262</xdr:rowOff>
    </xdr:from>
    <xdr:ext cx="132557" cy="132557"/>
    <xdr:pic>
      <xdr:nvPicPr>
        <xdr:cNvPr id="23" name="Grafik 22">
          <a:extLst>
            <a:ext uri="{FF2B5EF4-FFF2-40B4-BE49-F238E27FC236}">
              <a16:creationId xmlns:a16="http://schemas.microsoft.com/office/drawing/2014/main" id="{08CF2728-C615-4A0D-B09A-B146DAC2A9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6368" y="28061061"/>
          <a:ext cx="132557" cy="132557"/>
        </a:xfrm>
        <a:prstGeom prst="rect">
          <a:avLst/>
        </a:prstGeom>
      </xdr:spPr>
    </xdr:pic>
    <xdr:clientData/>
  </xdr:oneCellAnchor>
  <xdr:oneCellAnchor>
    <xdr:from>
      <xdr:col>2</xdr:col>
      <xdr:colOff>89083</xdr:colOff>
      <xdr:row>226</xdr:row>
      <xdr:rowOff>27410</xdr:rowOff>
    </xdr:from>
    <xdr:ext cx="132557" cy="132557"/>
    <xdr:pic>
      <xdr:nvPicPr>
        <xdr:cNvPr id="24" name="Grafik 23">
          <a:extLst>
            <a:ext uri="{FF2B5EF4-FFF2-40B4-BE49-F238E27FC236}">
              <a16:creationId xmlns:a16="http://schemas.microsoft.com/office/drawing/2014/main" id="{A63A833F-A7DF-409A-A964-DF5D4D5C1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34961547"/>
          <a:ext cx="132557" cy="132557"/>
        </a:xfrm>
        <a:prstGeom prst="rect">
          <a:avLst/>
        </a:prstGeom>
      </xdr:spPr>
    </xdr:pic>
    <xdr:clientData/>
  </xdr:oneCellAnchor>
  <xdr:oneCellAnchor>
    <xdr:from>
      <xdr:col>2</xdr:col>
      <xdr:colOff>75378</xdr:colOff>
      <xdr:row>232</xdr:row>
      <xdr:rowOff>20558</xdr:rowOff>
    </xdr:from>
    <xdr:ext cx="132557" cy="132557"/>
    <xdr:pic>
      <xdr:nvPicPr>
        <xdr:cNvPr id="25" name="Grafik 24">
          <a:extLst>
            <a:ext uri="{FF2B5EF4-FFF2-40B4-BE49-F238E27FC236}">
              <a16:creationId xmlns:a16="http://schemas.microsoft.com/office/drawing/2014/main" id="{7571935D-2F47-496B-B06F-DFEF99C607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9515" y="35776997"/>
          <a:ext cx="132557" cy="132557"/>
        </a:xfrm>
        <a:prstGeom prst="rect">
          <a:avLst/>
        </a:prstGeom>
      </xdr:spPr>
    </xdr:pic>
    <xdr:clientData/>
  </xdr:oneCellAnchor>
  <xdr:oneCellAnchor>
    <xdr:from>
      <xdr:col>2</xdr:col>
      <xdr:colOff>82229</xdr:colOff>
      <xdr:row>237</xdr:row>
      <xdr:rowOff>0</xdr:rowOff>
    </xdr:from>
    <xdr:ext cx="132557" cy="132557"/>
    <xdr:pic>
      <xdr:nvPicPr>
        <xdr:cNvPr id="27" name="Grafik 26">
          <a:extLst>
            <a:ext uri="{FF2B5EF4-FFF2-40B4-BE49-F238E27FC236}">
              <a16:creationId xmlns:a16="http://schemas.microsoft.com/office/drawing/2014/main" id="{98802033-56E5-4AA9-9A7E-929EDE083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6366" y="36578741"/>
          <a:ext cx="132557" cy="132557"/>
        </a:xfrm>
        <a:prstGeom prst="rect">
          <a:avLst/>
        </a:prstGeom>
      </xdr:spPr>
    </xdr:pic>
    <xdr:clientData/>
  </xdr:oneCellAnchor>
  <xdr:oneCellAnchor>
    <xdr:from>
      <xdr:col>2</xdr:col>
      <xdr:colOff>89083</xdr:colOff>
      <xdr:row>249</xdr:row>
      <xdr:rowOff>13705</xdr:rowOff>
    </xdr:from>
    <xdr:ext cx="132557" cy="132557"/>
    <xdr:pic>
      <xdr:nvPicPr>
        <xdr:cNvPr id="28" name="Grafik 27">
          <a:extLst>
            <a:ext uri="{FF2B5EF4-FFF2-40B4-BE49-F238E27FC236}">
              <a16:creationId xmlns:a16="http://schemas.microsoft.com/office/drawing/2014/main" id="{1328CE09-E068-412D-B7C6-5553806CB4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38401511"/>
          <a:ext cx="132557" cy="132557"/>
        </a:xfrm>
        <a:prstGeom prst="rect">
          <a:avLst/>
        </a:prstGeom>
      </xdr:spPr>
    </xdr:pic>
    <xdr:clientData/>
  </xdr:oneCellAnchor>
  <xdr:oneCellAnchor>
    <xdr:from>
      <xdr:col>2</xdr:col>
      <xdr:colOff>89083</xdr:colOff>
      <xdr:row>311</xdr:row>
      <xdr:rowOff>13705</xdr:rowOff>
    </xdr:from>
    <xdr:ext cx="132557" cy="132557"/>
    <xdr:pic>
      <xdr:nvPicPr>
        <xdr:cNvPr id="30" name="Grafik 29">
          <a:extLst>
            <a:ext uri="{FF2B5EF4-FFF2-40B4-BE49-F238E27FC236}">
              <a16:creationId xmlns:a16="http://schemas.microsoft.com/office/drawing/2014/main" id="{8DD69BFC-76B0-4065-9C5C-602E316AC8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49153111"/>
          <a:ext cx="132557" cy="132557"/>
        </a:xfrm>
        <a:prstGeom prst="rect">
          <a:avLst/>
        </a:prstGeom>
      </xdr:spPr>
    </xdr:pic>
    <xdr:clientData/>
  </xdr:oneCellAnchor>
  <xdr:oneCellAnchor>
    <xdr:from>
      <xdr:col>2</xdr:col>
      <xdr:colOff>89083</xdr:colOff>
      <xdr:row>316</xdr:row>
      <xdr:rowOff>27410</xdr:rowOff>
    </xdr:from>
    <xdr:ext cx="132557" cy="132557"/>
    <xdr:pic>
      <xdr:nvPicPr>
        <xdr:cNvPr id="31" name="Grafik 30">
          <a:extLst>
            <a:ext uri="{FF2B5EF4-FFF2-40B4-BE49-F238E27FC236}">
              <a16:creationId xmlns:a16="http://schemas.microsoft.com/office/drawing/2014/main" id="{E23B47F9-AB16-4275-8101-9ADAC31B8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49824658"/>
          <a:ext cx="132557" cy="132557"/>
        </a:xfrm>
        <a:prstGeom prst="rect">
          <a:avLst/>
        </a:prstGeom>
      </xdr:spPr>
    </xdr:pic>
    <xdr:clientData/>
  </xdr:oneCellAnchor>
  <xdr:oneCellAnchor>
    <xdr:from>
      <xdr:col>2</xdr:col>
      <xdr:colOff>95936</xdr:colOff>
      <xdr:row>332</xdr:row>
      <xdr:rowOff>20558</xdr:rowOff>
    </xdr:from>
    <xdr:ext cx="132557" cy="132557"/>
    <xdr:pic>
      <xdr:nvPicPr>
        <xdr:cNvPr id="33" name="Grafik 32">
          <a:extLst>
            <a:ext uri="{FF2B5EF4-FFF2-40B4-BE49-F238E27FC236}">
              <a16:creationId xmlns:a16="http://schemas.microsoft.com/office/drawing/2014/main" id="{4752267C-C93C-46C0-9267-819412776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3" y="52284713"/>
          <a:ext cx="132557" cy="132557"/>
        </a:xfrm>
        <a:prstGeom prst="rect">
          <a:avLst/>
        </a:prstGeom>
      </xdr:spPr>
    </xdr:pic>
    <xdr:clientData/>
  </xdr:oneCellAnchor>
  <xdr:oneCellAnchor>
    <xdr:from>
      <xdr:col>2</xdr:col>
      <xdr:colOff>89083</xdr:colOff>
      <xdr:row>334</xdr:row>
      <xdr:rowOff>0</xdr:rowOff>
    </xdr:from>
    <xdr:ext cx="137050" cy="137050"/>
    <xdr:pic>
      <xdr:nvPicPr>
        <xdr:cNvPr id="35" name="Grafik 34">
          <a:extLst>
            <a:ext uri="{FF2B5EF4-FFF2-40B4-BE49-F238E27FC236}">
              <a16:creationId xmlns:a16="http://schemas.microsoft.com/office/drawing/2014/main" id="{2492B76D-4C4A-4477-9CF8-6B307BC484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52593076"/>
          <a:ext cx="137050" cy="137050"/>
        </a:xfrm>
        <a:prstGeom prst="rect">
          <a:avLst/>
        </a:prstGeom>
      </xdr:spPr>
    </xdr:pic>
    <xdr:clientData/>
  </xdr:oneCellAnchor>
  <xdr:oneCellAnchor>
    <xdr:from>
      <xdr:col>2</xdr:col>
      <xdr:colOff>89083</xdr:colOff>
      <xdr:row>341</xdr:row>
      <xdr:rowOff>6853</xdr:rowOff>
    </xdr:from>
    <xdr:ext cx="132557" cy="132557"/>
    <xdr:pic>
      <xdr:nvPicPr>
        <xdr:cNvPr id="36" name="Grafik 35">
          <a:extLst>
            <a:ext uri="{FF2B5EF4-FFF2-40B4-BE49-F238E27FC236}">
              <a16:creationId xmlns:a16="http://schemas.microsoft.com/office/drawing/2014/main" id="{AC3CC4D9-065F-4351-9096-E76175C4D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220" y="53751152"/>
          <a:ext cx="132557" cy="132557"/>
        </a:xfrm>
        <a:prstGeom prst="rect">
          <a:avLst/>
        </a:prstGeom>
      </xdr:spPr>
    </xdr:pic>
    <xdr:clientData/>
  </xdr:oneCellAnchor>
  <xdr:oneCellAnchor>
    <xdr:from>
      <xdr:col>2</xdr:col>
      <xdr:colOff>95936</xdr:colOff>
      <xdr:row>342</xdr:row>
      <xdr:rowOff>6852</xdr:rowOff>
    </xdr:from>
    <xdr:ext cx="132557" cy="132557"/>
    <xdr:pic>
      <xdr:nvPicPr>
        <xdr:cNvPr id="45" name="Grafik 44">
          <a:extLst>
            <a:ext uri="{FF2B5EF4-FFF2-40B4-BE49-F238E27FC236}">
              <a16:creationId xmlns:a16="http://schemas.microsoft.com/office/drawing/2014/main" id="{47DCC55A-8479-4512-B8F0-FA20BDA23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3" y="53915611"/>
          <a:ext cx="132557" cy="132557"/>
        </a:xfrm>
        <a:prstGeom prst="rect">
          <a:avLst/>
        </a:prstGeom>
      </xdr:spPr>
    </xdr:pic>
    <xdr:clientData/>
  </xdr:oneCellAnchor>
  <xdr:oneCellAnchor>
    <xdr:from>
      <xdr:col>2</xdr:col>
      <xdr:colOff>109640</xdr:colOff>
      <xdr:row>362</xdr:row>
      <xdr:rowOff>13705</xdr:rowOff>
    </xdr:from>
    <xdr:ext cx="132557" cy="132557"/>
    <xdr:pic>
      <xdr:nvPicPr>
        <xdr:cNvPr id="49" name="Grafik 48">
          <a:extLst>
            <a:ext uri="{FF2B5EF4-FFF2-40B4-BE49-F238E27FC236}">
              <a16:creationId xmlns:a16="http://schemas.microsoft.com/office/drawing/2014/main" id="{E9C77138-8B65-48DB-AE52-1F091F386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7" y="57211673"/>
          <a:ext cx="132557" cy="132557"/>
        </a:xfrm>
        <a:prstGeom prst="rect">
          <a:avLst/>
        </a:prstGeom>
      </xdr:spPr>
    </xdr:pic>
    <xdr:clientData/>
  </xdr:oneCellAnchor>
  <xdr:oneCellAnchor>
    <xdr:from>
      <xdr:col>2</xdr:col>
      <xdr:colOff>95936</xdr:colOff>
      <xdr:row>368</xdr:row>
      <xdr:rowOff>0</xdr:rowOff>
    </xdr:from>
    <xdr:ext cx="132557" cy="132557"/>
    <xdr:pic>
      <xdr:nvPicPr>
        <xdr:cNvPr id="50" name="Grafik 49">
          <a:extLst>
            <a:ext uri="{FF2B5EF4-FFF2-40B4-BE49-F238E27FC236}">
              <a16:creationId xmlns:a16="http://schemas.microsoft.com/office/drawing/2014/main" id="{093F16A3-64DA-4100-9C5B-E9C45DCE43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3" y="58184730"/>
          <a:ext cx="132557" cy="132557"/>
        </a:xfrm>
        <a:prstGeom prst="rect">
          <a:avLst/>
        </a:prstGeom>
      </xdr:spPr>
    </xdr:pic>
    <xdr:clientData/>
  </xdr:oneCellAnchor>
  <xdr:oneCellAnchor>
    <xdr:from>
      <xdr:col>2</xdr:col>
      <xdr:colOff>109641</xdr:colOff>
      <xdr:row>369</xdr:row>
      <xdr:rowOff>6853</xdr:rowOff>
    </xdr:from>
    <xdr:ext cx="132557" cy="132557"/>
    <xdr:pic>
      <xdr:nvPicPr>
        <xdr:cNvPr id="53" name="Grafik 52">
          <a:extLst>
            <a:ext uri="{FF2B5EF4-FFF2-40B4-BE49-F238E27FC236}">
              <a16:creationId xmlns:a16="http://schemas.microsoft.com/office/drawing/2014/main" id="{D0DC2777-A346-41CA-BA96-F188FF430C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8" y="58356044"/>
          <a:ext cx="132557" cy="132557"/>
        </a:xfrm>
        <a:prstGeom prst="rect">
          <a:avLst/>
        </a:prstGeom>
      </xdr:spPr>
    </xdr:pic>
    <xdr:clientData/>
  </xdr:oneCellAnchor>
  <xdr:oneCellAnchor>
    <xdr:from>
      <xdr:col>2</xdr:col>
      <xdr:colOff>95935</xdr:colOff>
      <xdr:row>370</xdr:row>
      <xdr:rowOff>20558</xdr:rowOff>
    </xdr:from>
    <xdr:ext cx="132557" cy="132557"/>
    <xdr:pic>
      <xdr:nvPicPr>
        <xdr:cNvPr id="54" name="Grafik 53">
          <a:extLst>
            <a:ext uri="{FF2B5EF4-FFF2-40B4-BE49-F238E27FC236}">
              <a16:creationId xmlns:a16="http://schemas.microsoft.com/office/drawing/2014/main" id="{79D80B47-E265-4326-ABA7-AB4AD5435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2" y="58534209"/>
          <a:ext cx="132557" cy="132557"/>
        </a:xfrm>
        <a:prstGeom prst="rect">
          <a:avLst/>
        </a:prstGeom>
      </xdr:spPr>
    </xdr:pic>
    <xdr:clientData/>
  </xdr:oneCellAnchor>
  <xdr:oneCellAnchor>
    <xdr:from>
      <xdr:col>2</xdr:col>
      <xdr:colOff>109641</xdr:colOff>
      <xdr:row>378</xdr:row>
      <xdr:rowOff>13705</xdr:rowOff>
    </xdr:from>
    <xdr:ext cx="132557" cy="132557"/>
    <xdr:pic>
      <xdr:nvPicPr>
        <xdr:cNvPr id="60" name="Grafik 59">
          <a:extLst>
            <a:ext uri="{FF2B5EF4-FFF2-40B4-BE49-F238E27FC236}">
              <a16:creationId xmlns:a16="http://schemas.microsoft.com/office/drawing/2014/main" id="{1DE16D11-0B59-48F2-A597-A25B86913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8" y="59843040"/>
          <a:ext cx="132557" cy="132557"/>
        </a:xfrm>
        <a:prstGeom prst="rect">
          <a:avLst/>
        </a:prstGeom>
      </xdr:spPr>
    </xdr:pic>
    <xdr:clientData/>
  </xdr:oneCellAnchor>
  <xdr:oneCellAnchor>
    <xdr:from>
      <xdr:col>2</xdr:col>
      <xdr:colOff>95935</xdr:colOff>
      <xdr:row>386</xdr:row>
      <xdr:rowOff>6852</xdr:rowOff>
    </xdr:from>
    <xdr:ext cx="132557" cy="132557"/>
    <xdr:pic>
      <xdr:nvPicPr>
        <xdr:cNvPr id="61" name="Grafik 60">
          <a:extLst>
            <a:ext uri="{FF2B5EF4-FFF2-40B4-BE49-F238E27FC236}">
              <a16:creationId xmlns:a16="http://schemas.microsoft.com/office/drawing/2014/main" id="{A17BEC1A-1C97-4149-BF83-048A7E2F9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2" y="61151870"/>
          <a:ext cx="132557" cy="132557"/>
        </a:xfrm>
        <a:prstGeom prst="rect">
          <a:avLst/>
        </a:prstGeom>
      </xdr:spPr>
    </xdr:pic>
    <xdr:clientData/>
  </xdr:oneCellAnchor>
  <xdr:oneCellAnchor>
    <xdr:from>
      <xdr:col>2</xdr:col>
      <xdr:colOff>102788</xdr:colOff>
      <xdr:row>397</xdr:row>
      <xdr:rowOff>13705</xdr:rowOff>
    </xdr:from>
    <xdr:ext cx="132557" cy="132557"/>
    <xdr:pic>
      <xdr:nvPicPr>
        <xdr:cNvPr id="62" name="Grafik 61">
          <a:extLst>
            <a:ext uri="{FF2B5EF4-FFF2-40B4-BE49-F238E27FC236}">
              <a16:creationId xmlns:a16="http://schemas.microsoft.com/office/drawing/2014/main" id="{42353ED4-F2B4-4A51-9D92-23F3A020A6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925" y="62967788"/>
          <a:ext cx="132557" cy="132557"/>
        </a:xfrm>
        <a:prstGeom prst="rect">
          <a:avLst/>
        </a:prstGeom>
      </xdr:spPr>
    </xdr:pic>
    <xdr:clientData/>
  </xdr:oneCellAnchor>
  <xdr:oneCellAnchor>
    <xdr:from>
      <xdr:col>2</xdr:col>
      <xdr:colOff>95935</xdr:colOff>
      <xdr:row>409</xdr:row>
      <xdr:rowOff>27410</xdr:rowOff>
    </xdr:from>
    <xdr:ext cx="132557" cy="132557"/>
    <xdr:pic>
      <xdr:nvPicPr>
        <xdr:cNvPr id="63" name="Grafik 62">
          <a:extLst>
            <a:ext uri="{FF2B5EF4-FFF2-40B4-BE49-F238E27FC236}">
              <a16:creationId xmlns:a16="http://schemas.microsoft.com/office/drawing/2014/main" id="{721D471B-B644-4B14-8D4D-F125F025BD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2" y="64790557"/>
          <a:ext cx="132557" cy="132557"/>
        </a:xfrm>
        <a:prstGeom prst="rect">
          <a:avLst/>
        </a:prstGeom>
      </xdr:spPr>
    </xdr:pic>
    <xdr:clientData/>
  </xdr:oneCellAnchor>
  <xdr:oneCellAnchor>
    <xdr:from>
      <xdr:col>2</xdr:col>
      <xdr:colOff>95935</xdr:colOff>
      <xdr:row>421</xdr:row>
      <xdr:rowOff>6853</xdr:rowOff>
    </xdr:from>
    <xdr:ext cx="132557" cy="132557"/>
    <xdr:pic>
      <xdr:nvPicPr>
        <xdr:cNvPr id="64" name="Grafik 63">
          <a:extLst>
            <a:ext uri="{FF2B5EF4-FFF2-40B4-BE49-F238E27FC236}">
              <a16:creationId xmlns:a16="http://schemas.microsoft.com/office/drawing/2014/main" id="{455623E6-8C23-4898-959A-83AF776912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0072" y="66579065"/>
          <a:ext cx="132557" cy="132557"/>
        </a:xfrm>
        <a:prstGeom prst="rect">
          <a:avLst/>
        </a:prstGeom>
      </xdr:spPr>
    </xdr:pic>
    <xdr:clientData/>
  </xdr:oneCellAnchor>
  <xdr:oneCellAnchor>
    <xdr:from>
      <xdr:col>2</xdr:col>
      <xdr:colOff>82230</xdr:colOff>
      <xdr:row>447</xdr:row>
      <xdr:rowOff>157608</xdr:rowOff>
    </xdr:from>
    <xdr:ext cx="132557" cy="132557"/>
    <xdr:pic>
      <xdr:nvPicPr>
        <xdr:cNvPr id="65" name="Grafik 64">
          <a:extLst>
            <a:ext uri="{FF2B5EF4-FFF2-40B4-BE49-F238E27FC236}">
              <a16:creationId xmlns:a16="http://schemas.microsoft.com/office/drawing/2014/main" id="{2F196D98-34A5-4688-A858-26DB8CE71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6367" y="70841331"/>
          <a:ext cx="132557" cy="132557"/>
        </a:xfrm>
        <a:prstGeom prst="rect">
          <a:avLst/>
        </a:prstGeom>
      </xdr:spPr>
    </xdr:pic>
    <xdr:clientData/>
  </xdr:oneCellAnchor>
  <xdr:oneCellAnchor>
    <xdr:from>
      <xdr:col>2</xdr:col>
      <xdr:colOff>109640</xdr:colOff>
      <xdr:row>478</xdr:row>
      <xdr:rowOff>6853</xdr:rowOff>
    </xdr:from>
    <xdr:ext cx="132557" cy="132557"/>
    <xdr:pic>
      <xdr:nvPicPr>
        <xdr:cNvPr id="67" name="Grafik 66">
          <a:extLst>
            <a:ext uri="{FF2B5EF4-FFF2-40B4-BE49-F238E27FC236}">
              <a16:creationId xmlns:a16="http://schemas.microsoft.com/office/drawing/2014/main" id="{839A1E3A-FA04-4610-8D67-8AADD1FCD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7" y="75980720"/>
          <a:ext cx="132557" cy="132557"/>
        </a:xfrm>
        <a:prstGeom prst="rect">
          <a:avLst/>
        </a:prstGeom>
      </xdr:spPr>
    </xdr:pic>
    <xdr:clientData/>
  </xdr:oneCellAnchor>
  <xdr:oneCellAnchor>
    <xdr:from>
      <xdr:col>2</xdr:col>
      <xdr:colOff>109640</xdr:colOff>
      <xdr:row>474</xdr:row>
      <xdr:rowOff>6853</xdr:rowOff>
    </xdr:from>
    <xdr:ext cx="132557" cy="132557"/>
    <xdr:pic>
      <xdr:nvPicPr>
        <xdr:cNvPr id="68" name="Grafik 67">
          <a:extLst>
            <a:ext uri="{FF2B5EF4-FFF2-40B4-BE49-F238E27FC236}">
              <a16:creationId xmlns:a16="http://schemas.microsoft.com/office/drawing/2014/main" id="{A8B57471-AF47-421A-B06A-605AAE400D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7" y="75322878"/>
          <a:ext cx="132557" cy="132557"/>
        </a:xfrm>
        <a:prstGeom prst="rect">
          <a:avLst/>
        </a:prstGeom>
      </xdr:spPr>
    </xdr:pic>
    <xdr:clientData/>
  </xdr:oneCellAnchor>
  <xdr:oneCellAnchor>
    <xdr:from>
      <xdr:col>2</xdr:col>
      <xdr:colOff>109640</xdr:colOff>
      <xdr:row>501</xdr:row>
      <xdr:rowOff>13705</xdr:rowOff>
    </xdr:from>
    <xdr:ext cx="132557" cy="132557"/>
    <xdr:pic>
      <xdr:nvPicPr>
        <xdr:cNvPr id="69" name="Grafik 68">
          <a:extLst>
            <a:ext uri="{FF2B5EF4-FFF2-40B4-BE49-F238E27FC236}">
              <a16:creationId xmlns:a16="http://schemas.microsoft.com/office/drawing/2014/main" id="{6C7E3E07-38A1-43C9-8A07-35FF6FC46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3777" y="80284101"/>
          <a:ext cx="132557" cy="132557"/>
        </a:xfrm>
        <a:prstGeom prst="rect">
          <a:avLst/>
        </a:prstGeom>
      </xdr:spPr>
    </xdr:pic>
    <xdr:clientData/>
  </xdr:oneCellAnchor>
  <xdr:oneCellAnchor>
    <xdr:from>
      <xdr:col>2</xdr:col>
      <xdr:colOff>137050</xdr:colOff>
      <xdr:row>554</xdr:row>
      <xdr:rowOff>6853</xdr:rowOff>
    </xdr:from>
    <xdr:ext cx="132557" cy="132557"/>
    <xdr:pic>
      <xdr:nvPicPr>
        <xdr:cNvPr id="70" name="Grafik 69">
          <a:extLst>
            <a:ext uri="{FF2B5EF4-FFF2-40B4-BE49-F238E27FC236}">
              <a16:creationId xmlns:a16="http://schemas.microsoft.com/office/drawing/2014/main" id="{DF2C3747-5C44-46E9-B50A-17E3BFCB6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1187" y="89644641"/>
          <a:ext cx="132557" cy="13255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52F9AD-B824-45FE-97B5-0778939ADABE}" name="Tabelle1" displayName="Tabelle1" ref="A11:K263" totalsRowShown="0" headerRowDxfId="122" headerRowBorderDxfId="121" tableBorderDxfId="120">
  <sortState xmlns:xlrd2="http://schemas.microsoft.com/office/spreadsheetml/2017/richdata2" ref="A12:K263">
    <sortCondition ref="B11:B263"/>
  </sortState>
  <tableColumns count="11">
    <tableColumn id="1" xr3:uid="{B203F17D-77F5-4232-80EF-1DBD4151950D}" name="Anzahl" dataDxfId="119"/>
    <tableColumn id="2" xr3:uid="{0EB3EF33-2A7D-4ED7-9101-D6166D18D973}" name="Reihentitel" dataDxfId="118"/>
    <tableColumn id="3" xr3:uid="{9C47014C-DD7E-43FF-AB58-491677F6DFC4}" name=" " dataDxfId="117"/>
    <tableColumn id="4" xr3:uid="{AED55381-62F0-4CD5-99D9-F94BD8289187}" name="Verlag" dataDxfId="116"/>
    <tableColumn id="5" xr3:uid="{9AEE2671-B7D4-4044-9CC1-F1EAC4A73336}" name="SBD _x000a_Reihen-_x000a_Nummer" dataDxfId="115"/>
    <tableColumn id="6" xr3:uid="{08A4746C-383A-452F-88E6-2083F5CE8978}" name="Stoffkreise" dataDxfId="114"/>
    <tableColumn id="7" xr3:uid="{C614570C-229E-464E-93EB-6720A606C81C}" name="ca. Anzahl_x000a_Titel pro Jahr" dataDxfId="113"/>
    <tableColumn id="8" xr3:uid="{CFFB09BD-8D28-475B-86A5-569A267FCF71}" name="ca. Preis pro Jahr_x000a_in CHF" dataDxfId="112"/>
    <tableColumn id="9" xr3:uid="{E95202A0-91AA-4B8B-ACD2-794122E741AC}" name="Total _x000a_pro Jahr _x000a_in CHF" dataDxfId="111">
      <calculatedColumnFormula>A12*H12</calculatedColumnFormula>
    </tableColumn>
    <tableColumn id="10" xr3:uid="{F0130DD4-CD37-470C-834A-DF0ABBE666D9}" name="Alle bereits erschienenen Bände nachliefern" dataDxfId="110"/>
    <tableColumn id="11" xr3:uid="{B9608804-1647-44A9-B19D-FF3A1FD50EBC}" name="Ab welchem _x000a_Band liefern" dataDxfId="10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8DF0C5-2DEE-4603-8EC1-E710815973E9}" name="Tabelle2" displayName="Tabelle2" ref="A269:K303" totalsRowShown="0" headerRowDxfId="108" headerRowBorderDxfId="107" tableBorderDxfId="106" totalsRowBorderDxfId="105">
  <autoFilter ref="A269:K303" xr:uid="{218DF0C5-2DEE-4603-8EC1-E710815973E9}"/>
  <sortState xmlns:xlrd2="http://schemas.microsoft.com/office/spreadsheetml/2017/richdata2" ref="A270:K303">
    <sortCondition ref="B269:B303"/>
  </sortState>
  <tableColumns count="11">
    <tableColumn id="1" xr3:uid="{61A8A532-796D-41A9-BFFD-3940B33F2BA4}" name="Anzahl" dataDxfId="104"/>
    <tableColumn id="2" xr3:uid="{BED1E011-741D-4EA9-B2C5-B7FBC23C3037}" name="Reihentitel" dataDxfId="103"/>
    <tableColumn id="3" xr3:uid="{140E9ED3-90BE-4800-B29D-FD98AC63C00A}" name=" " dataDxfId="102"/>
    <tableColumn id="4" xr3:uid="{5AF58539-280B-47FE-B62C-A77CE97A85EE}" name="Verlag" dataDxfId="101"/>
    <tableColumn id="5" xr3:uid="{DFB635FB-5339-494D-85ED-B63EEF58FBA9}" name="SBD _x000a_Reihen-_x000a_Nummer" dataDxfId="100"/>
    <tableColumn id="6" xr3:uid="{0A679B4D-18E4-423C-99C0-3C383FA0480B}" name="Stoffkreise" dataDxfId="99"/>
    <tableColumn id="7" xr3:uid="{DE2DCE76-BF5E-4683-8ED9-E5AB28495264}" name="ca. Anzahl_x000a_Titel pro Jahr" dataDxfId="98"/>
    <tableColumn id="8" xr3:uid="{B3B7F45F-4FA4-4C10-9AC0-10C485A488DA}" name="ca. Preis pro Jahr_x000a_in CHF" dataDxfId="97"/>
    <tableColumn id="9" xr3:uid="{EA26DD41-C08B-40E3-8529-EECEF9AF8381}" name="Total _x000a_pro Jahr _x000a_in CHF" dataDxfId="96">
      <calculatedColumnFormula>A270*H270</calculatedColumnFormula>
    </tableColumn>
    <tableColumn id="10" xr3:uid="{C9434BBE-9113-4F59-8751-AFC22B36AEC7}" name="Alle bereits erschienen Bände nachliefern" dataDxfId="95"/>
    <tableColumn id="11" xr3:uid="{9C29B2A5-D35D-4144-8854-2AF3187B727B}" name="Ab welchem Band liefern" dataDxfId="9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FDE853-7245-4AEE-98F6-9BCF8F8D1335}" name="Tabelle3" displayName="Tabelle3" ref="A308:K455" totalsRowShown="0" headerRowDxfId="93" dataDxfId="91" headerRowBorderDxfId="92" tableBorderDxfId="90">
  <autoFilter ref="A308:K455" xr:uid="{CDFDE853-7245-4AEE-98F6-9BCF8F8D1335}"/>
  <sortState xmlns:xlrd2="http://schemas.microsoft.com/office/spreadsheetml/2017/richdata2" ref="A309:K455">
    <sortCondition ref="B308:B455"/>
  </sortState>
  <tableColumns count="11">
    <tableColumn id="1" xr3:uid="{816E98CA-C52D-4272-841A-1F0B8BDA7139}" name="Anzahl" dataDxfId="89"/>
    <tableColumn id="2" xr3:uid="{ACA73E79-0610-4C07-9134-734B5E3E53BA}" name="Reihentitel" dataDxfId="88"/>
    <tableColumn id="3" xr3:uid="{93FDDB8A-211A-4266-B313-D16571BA4A39}" name=" " dataDxfId="87"/>
    <tableColumn id="4" xr3:uid="{CC5764E5-32D8-4851-83A3-10BBD8FA7E65}" name="Verlag" dataDxfId="86"/>
    <tableColumn id="5" xr3:uid="{8B1238E0-7B50-4645-A435-57AA0CCBD1EC}" name="SBD _x000a_Reihen-_x000a_Nummer" dataDxfId="85"/>
    <tableColumn id="6" xr3:uid="{67043798-4F1D-458F-A9F3-F89C8C766E3F}" name="Stoffkreise" dataDxfId="84"/>
    <tableColumn id="7" xr3:uid="{68DDD481-AD3A-41F8-978A-45D723CDCD07}" name="ca. Anzahl_x000a_Titel pro Jahr" dataDxfId="83"/>
    <tableColumn id="8" xr3:uid="{E3910BCF-E75A-463A-BA7D-9703D26AE3D8}" name="ca. Preis pro Jahr_x000a_in CHF" dataDxfId="82"/>
    <tableColumn id="9" xr3:uid="{FDC5C233-7FAF-4DC7-9DCF-3FE8E502B835}" name="Total _x000a_pro Jahr _x000a_in CHF" dataDxfId="81">
      <calculatedColumnFormula>A309*H309</calculatedColumnFormula>
    </tableColumn>
    <tableColumn id="10" xr3:uid="{EA476270-AA23-4F8E-9333-269CB9E6D4FE}" name="Alle bereits erschienenen Bände nachliefern" dataDxfId="80"/>
    <tableColumn id="11" xr3:uid="{B6975F82-AA73-4309-BA9F-0D28D2A5E5EA}" name="Ab welchem Band liefern" dataDxfId="7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A09EF3-6E55-474B-A8EF-12059A0D8D14}" name="Tabelle6" displayName="Tabelle6" ref="A460:K479" totalsRowShown="0" headerRowDxfId="78" dataDxfId="76" headerRowBorderDxfId="77" tableBorderDxfId="75" totalsRowBorderDxfId="74">
  <autoFilter ref="A460:K479" xr:uid="{47A09EF3-6E55-474B-A8EF-12059A0D8D14}"/>
  <sortState xmlns:xlrd2="http://schemas.microsoft.com/office/spreadsheetml/2017/richdata2" ref="A461:K479">
    <sortCondition ref="B460:B479"/>
  </sortState>
  <tableColumns count="11">
    <tableColumn id="1" xr3:uid="{76B20A79-5A06-4920-BA51-5DBDDC2EB648}" name="Anzahl" dataDxfId="73"/>
    <tableColumn id="2" xr3:uid="{9F1F4992-AC02-4481-A0E8-EF882FE6B393}" name="Reihentitel" dataDxfId="72"/>
    <tableColumn id="3" xr3:uid="{BB645BE8-F496-4DBA-A911-31F72E6B53F3}" name=" " dataDxfId="71"/>
    <tableColumn id="4" xr3:uid="{A18031D7-CAE1-4C87-BB6E-04B3FB9110C5}" name="Verlag" dataDxfId="70"/>
    <tableColumn id="5" xr3:uid="{A7BB7D48-BECE-4BC1-8368-2A86ECDDBC98}" name="SBD _x000a_Reihen-_x000a_Nummer" dataDxfId="69"/>
    <tableColumn id="6" xr3:uid="{95F9240E-98EA-4660-9018-A45E25EB4DAC}" name="Stoffkreise" dataDxfId="68"/>
    <tableColumn id="7" xr3:uid="{E7F1AD74-DEF3-4504-ABE5-1F383E7EB9C0}" name="ca. Anzahl_x000a_Titel pro Jahr" dataDxfId="67"/>
    <tableColumn id="8" xr3:uid="{AD85F423-76DD-4740-872B-F1851FCC8080}" name="ca. Preis pro Jahr_x000a_in CHF" dataDxfId="66"/>
    <tableColumn id="9" xr3:uid="{6BD5D6B9-4747-4F8C-8A47-DA965800B2E1}" name="Total _x000a_pro Jahr _x000a_in CHF" dataDxfId="65">
      <calculatedColumnFormula>A461*H461</calculatedColumnFormula>
    </tableColumn>
    <tableColumn id="10" xr3:uid="{ADCBC8B7-93AF-4B2D-AB0F-AB6A3BF03F7D}" name="Alle bereits erschienen Bände nachliefern" dataDxfId="64"/>
    <tableColumn id="11" xr3:uid="{7E52C6CB-9AB3-4211-8AFE-97D2EE228D52}" name="Ab welchem Band liefern" dataDxfId="63"/>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290705-CB01-4143-8465-4DC3A1C54464}" name="Tabelle7" displayName="Tabelle7" ref="A484:K506" totalsRowShown="0" headerRowDxfId="62" dataDxfId="60" headerRowBorderDxfId="61" tableBorderDxfId="59">
  <autoFilter ref="A484:K506" xr:uid="{06290705-CB01-4143-8465-4DC3A1C54464}"/>
  <sortState xmlns:xlrd2="http://schemas.microsoft.com/office/spreadsheetml/2017/richdata2" ref="A485:K506">
    <sortCondition ref="B484:B506"/>
  </sortState>
  <tableColumns count="11">
    <tableColumn id="1" xr3:uid="{B646124F-952A-46D4-8577-E722CB4FCEC8}" name="Anzahl" dataDxfId="58"/>
    <tableColumn id="2" xr3:uid="{05F8558E-1143-42C0-8CA6-62AAC7868AEB}" name="Reihentitel" dataDxfId="57"/>
    <tableColumn id="3" xr3:uid="{6212C4C0-C9E6-4160-98E5-0F72AE30C686}" name=" " dataDxfId="56"/>
    <tableColumn id="4" xr3:uid="{C9D3B37C-5C5B-43B1-AE8C-3E837444AD05}" name="Verlag" dataDxfId="55"/>
    <tableColumn id="5" xr3:uid="{E97F8447-338F-40E5-92FA-A29385F6B2CE}" name="SBD _x000a_Reihen-_x000a_Nummer" dataDxfId="54"/>
    <tableColumn id="6" xr3:uid="{8F512D87-E493-4653-8F44-2AB6F6F2B239}" name="Stoffkreise" dataDxfId="53"/>
    <tableColumn id="7" xr3:uid="{5CC5E479-1F0F-4517-AE46-FF257F285C46}" name="ca. Anzahl_x000a_Titel pro Jahr" dataDxfId="52"/>
    <tableColumn id="8" xr3:uid="{9E34654A-E7D2-4331-B132-BACCF295DE2F}" name="ca. Preis pro Jahr_x000a_in CHF" dataDxfId="51"/>
    <tableColumn id="9" xr3:uid="{83E41A6A-32AC-4DF1-A3DD-F3D8184B5258}" name="Total _x000a_pro Jahr _x000a_in CHF" dataDxfId="50">
      <calculatedColumnFormula>A485*H485</calculatedColumnFormula>
    </tableColumn>
    <tableColumn id="10" xr3:uid="{6B9290B5-A079-4EFB-8FCC-70E9663A59D6}" name="Alle bereits erschienenen Bände nachliefern" dataDxfId="49"/>
    <tableColumn id="11" xr3:uid="{3A6E7BC9-080B-4197-84CD-E4B85842CC44}" name="Ab welchem Band liefern" dataDxfId="4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160601-34DD-4CB4-B5AF-1CC843DB0600}" name="Tabelle8" displayName="Tabelle8" ref="A512:K519" totalsRowShown="0" headerRowDxfId="47" dataDxfId="45" headerRowBorderDxfId="46" tableBorderDxfId="44" totalsRowBorderDxfId="43">
  <autoFilter ref="A512:K519" xr:uid="{AA160601-34DD-4CB4-B5AF-1CC843DB0600}"/>
  <sortState xmlns:xlrd2="http://schemas.microsoft.com/office/spreadsheetml/2017/richdata2" ref="A513:K519">
    <sortCondition ref="B512:B519"/>
  </sortState>
  <tableColumns count="11">
    <tableColumn id="1" xr3:uid="{C373C006-4615-4512-9495-28793098666D}" name="Anzahl" dataDxfId="42"/>
    <tableColumn id="2" xr3:uid="{47C1BB3F-793E-4680-87AC-28053F5035A6}" name="Reihentitel" dataDxfId="41"/>
    <tableColumn id="3" xr3:uid="{DF4800D3-7C2A-4BD3-90E9-C283C11FDEE3}" name="Spalte1" dataDxfId="40"/>
    <tableColumn id="4" xr3:uid="{D4BA2FE7-8A9D-4260-88CF-BEAFAB50F257}" name="Verlag" dataDxfId="39"/>
    <tableColumn id="5" xr3:uid="{1C01C19A-179A-4E0D-9917-E31651698F18}" name="SBD _x000a_Reihen-_x000a_Nummer" dataDxfId="38"/>
    <tableColumn id="6" xr3:uid="{0A2EF506-8D8D-4198-81F6-3407B7A240FB}" name="Stoffkreise" dataDxfId="37"/>
    <tableColumn id="7" xr3:uid="{260EE72F-7743-44CC-A1A0-5B102A463BA1}" name="ca. Anzahl_x000a_Titel pro Jahr" dataDxfId="36"/>
    <tableColumn id="8" xr3:uid="{5D600908-B1C7-433B-A108-DDA52563B7BE}" name="ca. Preis pro Jahr_x000a_in CHF" dataDxfId="35"/>
    <tableColumn id="9" xr3:uid="{1ACE72FC-E89C-44FB-AE4A-A447AB3185BF}" name="Total _x000a_pro Jahr _x000a_in CHF" dataDxfId="34">
      <calculatedColumnFormula>A513*H513</calculatedColumnFormula>
    </tableColumn>
    <tableColumn id="10" xr3:uid="{B39077D8-FC57-4475-B973-52F90C6EA12E}" name="Alle bereits erschienenen Bände nachliefern" dataDxfId="33"/>
    <tableColumn id="11" xr3:uid="{A23B4AB2-CBEB-4D56-9D1E-FFCF6A36F8C8}" name="Ab welchem Band liefern" dataDxfId="32"/>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CAA7CC8-BBA5-4B33-9745-CCF842939C50}" name="Tabelle9" displayName="Tabelle9" ref="A524:K615" totalsRowShown="0" headerRowDxfId="31" dataDxfId="29" headerRowBorderDxfId="30" tableBorderDxfId="28" totalsRowBorderDxfId="27">
  <sortState xmlns:xlrd2="http://schemas.microsoft.com/office/spreadsheetml/2017/richdata2" ref="A525:K615">
    <sortCondition ref="B544:B615"/>
  </sortState>
  <tableColumns count="11">
    <tableColumn id="1" xr3:uid="{967EF1CE-0A68-43BB-A638-1BC730FDE6E6}" name="Anzahl" dataDxfId="26"/>
    <tableColumn id="2" xr3:uid="{E0E5FE1C-AEBA-4F5C-84E8-8045FD99EB51}" name="Reihentitel" dataDxfId="25"/>
    <tableColumn id="3" xr3:uid="{9A1DD3A1-D46E-4975-B8E5-A4A7AD2579F5}" name="Spalte1" dataDxfId="24"/>
    <tableColumn id="4" xr3:uid="{8F5592BA-C136-479C-BC37-A08709F3379F}" name="Verlag" dataDxfId="23"/>
    <tableColumn id="5" xr3:uid="{133A704D-10AE-43D4-99DF-F5B637F1CDA6}" name="SBD _x000a_Reihen-_x000a_Nummer" dataDxfId="22"/>
    <tableColumn id="6" xr3:uid="{1D8B8799-0B95-49DA-B0CD-D754987E4F48}" name="Stoffkreise" dataDxfId="21"/>
    <tableColumn id="7" xr3:uid="{3D8A8B4E-41E9-4FCF-94EC-7830D76E6EE7}" name="ca. Anzahl_x000a_Titel pro Jahr" dataDxfId="20"/>
    <tableColumn id="8" xr3:uid="{841A817E-A96A-4684-AAFB-32A02969E9C6}" name="ca. Preis pro Jahr_x000a_in CHF" dataDxfId="19"/>
    <tableColumn id="9" xr3:uid="{68542418-B3B0-4214-9872-D3A7892AFA67}" name="Total _x000a_pro Jahr _x000a_in CHF" dataDxfId="18">
      <calculatedColumnFormula>A525*H525</calculatedColumnFormula>
    </tableColumn>
    <tableColumn id="10" xr3:uid="{E89C53A0-928B-468D-A6B8-900532948BCE}" name="Alle bereits erschienenen Bände nachliefern" dataDxfId="17"/>
    <tableColumn id="11" xr3:uid="{D228572A-39B7-4D8B-BBB0-25D7FD30CF01}" name="Ab welchem Band liefern" dataDxfId="16"/>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50EB747-A0FA-4CB0-BE13-8050FB67F8C6}" name="Tabelle10" displayName="Tabelle10" ref="A621:K674" totalsRowShown="0" headerRowDxfId="15" dataDxfId="13" headerRowBorderDxfId="14" tableBorderDxfId="12" totalsRowBorderDxfId="11">
  <autoFilter ref="A621:K674" xr:uid="{350EB747-A0FA-4CB0-BE13-8050FB67F8C6}"/>
  <sortState xmlns:xlrd2="http://schemas.microsoft.com/office/spreadsheetml/2017/richdata2" ref="A622:K674">
    <sortCondition ref="B621:B674"/>
  </sortState>
  <tableColumns count="11">
    <tableColumn id="1" xr3:uid="{2D5B4ABC-196F-4B57-8FFD-0483D2982F5C}" name="Anzahl" dataDxfId="10"/>
    <tableColumn id="2" xr3:uid="{20D50120-5378-4BFE-90DA-BE568E2843B3}" name="Reihentitel" dataDxfId="9"/>
    <tableColumn id="3" xr3:uid="{F14568CC-21D8-46BC-B046-F19598CDB20B}" name="Spalte1" dataDxfId="8"/>
    <tableColumn id="4" xr3:uid="{19F230EB-5AA9-487F-BBA9-93F23CB4ADA9}" name="Verlag" dataDxfId="7"/>
    <tableColumn id="5" xr3:uid="{5B0C09E3-3DC4-405A-9C99-8E75C1F1FB18}" name="SBD _x000a_Reihen-_x000a_Nummer" dataDxfId="6"/>
    <tableColumn id="6" xr3:uid="{BD1C3DA3-6CEE-4295-9C29-9BB97A4B4A61}" name="Spalte2" dataDxfId="5"/>
    <tableColumn id="7" xr3:uid="{DC01773C-050E-43A4-9613-EB60CFF9924A}" name="ca. Anzahl_x000a_Titel pro Jahr" dataDxfId="4"/>
    <tableColumn id="8" xr3:uid="{4DA11655-ECEC-45C3-8E1F-F272FB9C9D64}" name="ca. Preis pro Jahr_x000a_in CHF" dataDxfId="3"/>
    <tableColumn id="9" xr3:uid="{9B654D58-1A0A-49B2-AAE9-CC3B6A7BAB78}" name="Total _x000a_pro Jahr _x000a_in CHF" dataDxfId="2">
      <calculatedColumnFormula>A622*H622</calculatedColumnFormula>
    </tableColumn>
    <tableColumn id="10" xr3:uid="{026DD9DD-4D76-4843-8412-DA2905C351B0}" name="Alle bereits erschienenen Bände nachliefern" dataDxfId="1"/>
    <tableColumn id="11" xr3:uid="{1F4A99DB-71BB-4316-B3EA-0BA17080D26B}" name="Ab welchem Band liefern" dataDxfId="0"/>
  </tableColumns>
  <tableStyleInfo name="TableStyleLight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1CC6-2F31-4A68-B3BF-378E279B7A87}">
  <sheetPr codeName="Tabelle1"/>
  <dimension ref="A4:K946"/>
  <sheetViews>
    <sheetView tabSelected="1" topLeftCell="A643" zoomScale="115" zoomScaleNormal="115" zoomScaleSheetLayoutView="85" zoomScalePageLayoutView="85" workbookViewId="0">
      <selection activeCell="F631" sqref="F630:F631"/>
    </sheetView>
  </sheetViews>
  <sheetFormatPr baseColWidth="10" defaultRowHeight="11.25"/>
  <cols>
    <col min="1" max="1" width="6.42578125" style="1" customWidth="1"/>
    <col min="2" max="2" width="47.140625" style="59" customWidth="1"/>
    <col min="3" max="3" width="9.5703125" style="1" bestFit="1" customWidth="1"/>
    <col min="4" max="4" width="34.5703125" style="1" bestFit="1" customWidth="1"/>
    <col min="5" max="5" width="10" style="1" customWidth="1"/>
    <col min="6" max="6" width="29.5703125" style="1" bestFit="1" customWidth="1"/>
    <col min="7" max="7" width="14.28515625" style="1" bestFit="1" customWidth="1"/>
    <col min="8" max="8" width="33.42578125" style="72" bestFit="1" customWidth="1"/>
    <col min="9" max="9" width="10" style="1" bestFit="1" customWidth="1"/>
    <col min="10" max="10" width="19.42578125" style="1" bestFit="1" customWidth="1"/>
    <col min="11" max="11" width="37" style="1" bestFit="1" customWidth="1"/>
    <col min="12" max="16384" width="11.42578125" style="1"/>
  </cols>
  <sheetData>
    <row r="4" spans="1:11" ht="13.5" customHeight="1">
      <c r="A4" s="93" t="s">
        <v>0</v>
      </c>
      <c r="B4" s="94"/>
      <c r="C4" s="94"/>
      <c r="D4" s="94"/>
      <c r="E4" s="94"/>
      <c r="F4" s="94"/>
      <c r="G4" s="94"/>
      <c r="H4" s="94"/>
      <c r="I4" s="3"/>
      <c r="J4" s="2"/>
      <c r="K4" s="4" t="s">
        <v>1</v>
      </c>
    </row>
    <row r="5" spans="1:11" ht="13.5" customHeight="1" thickBot="1">
      <c r="A5" s="95" t="s">
        <v>2</v>
      </c>
      <c r="B5" s="96"/>
      <c r="C5" s="96"/>
      <c r="D5" s="96"/>
      <c r="E5" s="96"/>
      <c r="F5" s="96"/>
      <c r="G5" s="96"/>
      <c r="H5" s="96"/>
      <c r="I5" s="6"/>
      <c r="J5" s="5"/>
      <c r="K5" s="7">
        <f>I265+I305+I457+I481+I508+I521+I617+I676</f>
        <v>0</v>
      </c>
    </row>
    <row r="6" spans="1:11" s="9" customFormat="1" ht="12" customHeight="1">
      <c r="A6" s="8"/>
      <c r="B6" s="59"/>
      <c r="G6" s="10"/>
      <c r="H6" s="67"/>
      <c r="J6" s="10"/>
      <c r="K6" s="11"/>
    </row>
    <row r="7" spans="1:11" s="9" customFormat="1" ht="27" customHeight="1">
      <c r="A7" s="100" t="s">
        <v>621</v>
      </c>
      <c r="B7" s="101"/>
      <c r="C7" s="101"/>
      <c r="D7" s="101"/>
      <c r="E7" s="101"/>
      <c r="F7" s="101"/>
      <c r="G7" s="101"/>
      <c r="H7" s="101"/>
      <c r="I7" s="101"/>
      <c r="J7" s="101"/>
      <c r="K7" s="102"/>
    </row>
    <row r="8" spans="1:11" ht="14.25" customHeight="1">
      <c r="A8" s="8" t="s">
        <v>3</v>
      </c>
      <c r="H8" s="67"/>
      <c r="K8" s="12"/>
    </row>
    <row r="9" spans="1:11" ht="18.75" customHeight="1">
      <c r="A9" s="13" t="s">
        <v>4</v>
      </c>
      <c r="B9" s="60"/>
      <c r="C9" s="14"/>
      <c r="D9" s="14"/>
      <c r="E9" s="14"/>
      <c r="F9" s="14"/>
      <c r="G9" s="14"/>
      <c r="H9" s="68"/>
      <c r="I9" s="14"/>
      <c r="J9" s="14"/>
      <c r="K9" s="15"/>
    </row>
    <row r="10" spans="1:11" ht="19.5" customHeight="1">
      <c r="A10" s="103" t="s">
        <v>1058</v>
      </c>
      <c r="B10" s="104"/>
      <c r="C10" s="104"/>
      <c r="D10" s="104"/>
      <c r="E10" s="104"/>
      <c r="F10" s="104"/>
      <c r="G10" s="104"/>
      <c r="H10" s="104"/>
      <c r="I10" s="104"/>
      <c r="J10" s="104"/>
      <c r="K10" s="105"/>
    </row>
    <row r="11" spans="1:11" s="16" customFormat="1" ht="47.25" customHeight="1">
      <c r="A11" s="29" t="s">
        <v>5</v>
      </c>
      <c r="B11" s="61" t="s">
        <v>6</v>
      </c>
      <c r="C11" s="74" t="s">
        <v>638</v>
      </c>
      <c r="D11" s="31" t="s">
        <v>7</v>
      </c>
      <c r="E11" s="32" t="s">
        <v>8</v>
      </c>
      <c r="F11" s="31" t="s">
        <v>9</v>
      </c>
      <c r="G11" s="33" t="s">
        <v>10</v>
      </c>
      <c r="H11" s="69" t="s">
        <v>11</v>
      </c>
      <c r="I11" s="33" t="s">
        <v>347</v>
      </c>
      <c r="J11" s="33" t="s">
        <v>12</v>
      </c>
      <c r="K11" s="33" t="s">
        <v>348</v>
      </c>
    </row>
    <row r="12" spans="1:11" ht="12.95" customHeight="1">
      <c r="A12" s="76"/>
      <c r="B12" s="51" t="s">
        <v>16</v>
      </c>
      <c r="C12" s="37"/>
      <c r="D12" s="37" t="s">
        <v>17</v>
      </c>
      <c r="E12" s="38">
        <v>4388</v>
      </c>
      <c r="F12" s="39" t="s">
        <v>18</v>
      </c>
      <c r="G12" s="42">
        <v>2</v>
      </c>
      <c r="H12" s="53">
        <f>(14.7*Tabelle1[[#This Row],[ca. Anzahl
Titel pro Jahr]])</f>
        <v>29.4</v>
      </c>
      <c r="I12" s="41">
        <f t="shared" ref="I12:I80" si="0">A12*H12</f>
        <v>0</v>
      </c>
      <c r="J12" s="17"/>
      <c r="K12" s="17"/>
    </row>
    <row r="13" spans="1:11" ht="12.95" customHeight="1">
      <c r="A13" s="76"/>
      <c r="B13" s="62" t="s">
        <v>1029</v>
      </c>
      <c r="C13" s="37"/>
      <c r="D13" s="54" t="s">
        <v>218</v>
      </c>
      <c r="E13" s="38">
        <v>6001</v>
      </c>
      <c r="F13" s="55" t="s">
        <v>1030</v>
      </c>
      <c r="G13" s="42">
        <v>1</v>
      </c>
      <c r="H13" s="53">
        <v>21.5</v>
      </c>
      <c r="I13" s="41">
        <f>A13*H13</f>
        <v>0</v>
      </c>
      <c r="J13" s="17"/>
      <c r="K13" s="17"/>
    </row>
    <row r="14" spans="1:11" ht="12.95" customHeight="1">
      <c r="A14" s="76"/>
      <c r="B14" s="62" t="s">
        <v>595</v>
      </c>
      <c r="C14" s="37"/>
      <c r="D14" s="37" t="s">
        <v>31</v>
      </c>
      <c r="E14" s="38">
        <v>5666</v>
      </c>
      <c r="F14" s="39" t="s">
        <v>596</v>
      </c>
      <c r="G14" s="42">
        <v>1</v>
      </c>
      <c r="H14" s="53">
        <f>(17.5*Tabelle1[[#This Row],[ca. Anzahl
Titel pro Jahr]])</f>
        <v>17.5</v>
      </c>
      <c r="I14" s="41">
        <f t="shared" si="0"/>
        <v>0</v>
      </c>
      <c r="J14" s="17"/>
      <c r="K14" s="17"/>
    </row>
    <row r="15" spans="1:11" ht="12.95" customHeight="1">
      <c r="A15" s="76"/>
      <c r="B15" s="62" t="s">
        <v>1031</v>
      </c>
      <c r="C15" s="37"/>
      <c r="D15" s="54" t="s">
        <v>61</v>
      </c>
      <c r="E15" s="38">
        <v>6002</v>
      </c>
      <c r="F15" s="55" t="s">
        <v>325</v>
      </c>
      <c r="G15" s="42">
        <v>2</v>
      </c>
      <c r="H15" s="53">
        <v>42</v>
      </c>
      <c r="I15" s="41">
        <f>A15*H15</f>
        <v>0</v>
      </c>
      <c r="J15" s="17"/>
      <c r="K15" s="17"/>
    </row>
    <row r="16" spans="1:11" ht="12.95" customHeight="1">
      <c r="A16" s="76"/>
      <c r="B16" s="62" t="s">
        <v>919</v>
      </c>
      <c r="C16" s="37"/>
      <c r="D16" s="54" t="s">
        <v>15</v>
      </c>
      <c r="E16" s="38">
        <v>5946</v>
      </c>
      <c r="F16" s="55" t="s">
        <v>920</v>
      </c>
      <c r="G16" s="42">
        <v>2</v>
      </c>
      <c r="H16" s="53">
        <v>11.9</v>
      </c>
      <c r="I16" s="41">
        <f t="shared" si="0"/>
        <v>0</v>
      </c>
      <c r="J16" s="17"/>
      <c r="K16" s="17"/>
    </row>
    <row r="17" spans="1:11" ht="12.95" customHeight="1">
      <c r="A17" s="76"/>
      <c r="B17" s="51" t="s">
        <v>667</v>
      </c>
      <c r="C17" s="37"/>
      <c r="D17" s="37" t="s">
        <v>65</v>
      </c>
      <c r="E17" s="38">
        <v>5793</v>
      </c>
      <c r="F17" s="39" t="s">
        <v>334</v>
      </c>
      <c r="G17" s="42">
        <v>1</v>
      </c>
      <c r="H17" s="53">
        <v>23.5</v>
      </c>
      <c r="I17" s="41">
        <f t="shared" si="0"/>
        <v>0</v>
      </c>
      <c r="J17" s="17"/>
      <c r="K17" s="17"/>
    </row>
    <row r="18" spans="1:11" ht="12.95" customHeight="1">
      <c r="A18" s="76"/>
      <c r="B18" s="62" t="s">
        <v>716</v>
      </c>
      <c r="C18" s="37"/>
      <c r="D18" s="37" t="s">
        <v>14</v>
      </c>
      <c r="E18" s="38">
        <v>3074</v>
      </c>
      <c r="F18" s="55" t="s">
        <v>856</v>
      </c>
      <c r="G18" s="42">
        <v>1</v>
      </c>
      <c r="H18" s="53">
        <v>14.5</v>
      </c>
      <c r="I18" s="41">
        <f t="shared" si="0"/>
        <v>0</v>
      </c>
      <c r="J18" s="17"/>
      <c r="K18" s="17"/>
    </row>
    <row r="19" spans="1:11" ht="12.95" customHeight="1">
      <c r="A19" s="76"/>
      <c r="B19" s="51" t="s">
        <v>717</v>
      </c>
      <c r="C19" s="37"/>
      <c r="D19" s="37" t="s">
        <v>17</v>
      </c>
      <c r="E19" s="38">
        <v>5649</v>
      </c>
      <c r="F19" s="55" t="s">
        <v>137</v>
      </c>
      <c r="G19" s="42">
        <v>1</v>
      </c>
      <c r="H19" s="53">
        <v>19.5</v>
      </c>
      <c r="I19" s="41">
        <f t="shared" si="0"/>
        <v>0</v>
      </c>
      <c r="J19" s="17"/>
      <c r="K19" s="17"/>
    </row>
    <row r="20" spans="1:11" ht="12.95" customHeight="1">
      <c r="A20" s="76"/>
      <c r="B20" s="62" t="s">
        <v>24</v>
      </c>
      <c r="C20" s="37"/>
      <c r="D20" s="37" t="s">
        <v>17</v>
      </c>
      <c r="E20" s="38">
        <v>894</v>
      </c>
      <c r="F20" s="39" t="s">
        <v>25</v>
      </c>
      <c r="G20" s="42">
        <v>1</v>
      </c>
      <c r="H20" s="53">
        <v>14.9</v>
      </c>
      <c r="I20" s="41">
        <f t="shared" si="0"/>
        <v>0</v>
      </c>
      <c r="J20" s="17"/>
      <c r="K20" s="17"/>
    </row>
    <row r="21" spans="1:11" ht="12.95" customHeight="1">
      <c r="A21" s="76"/>
      <c r="B21" s="51" t="s">
        <v>27</v>
      </c>
      <c r="C21" s="37"/>
      <c r="D21" s="37" t="s">
        <v>28</v>
      </c>
      <c r="E21" s="38">
        <v>4581</v>
      </c>
      <c r="F21" s="39" t="s">
        <v>18</v>
      </c>
      <c r="G21" s="42">
        <v>2</v>
      </c>
      <c r="H21" s="53">
        <f>(Tabelle1[[#This Row],[ca. Anzahl
Titel pro Jahr]]*11.9)</f>
        <v>23.8</v>
      </c>
      <c r="I21" s="41">
        <f t="shared" si="0"/>
        <v>0</v>
      </c>
      <c r="J21" s="17"/>
      <c r="K21" s="17"/>
    </row>
    <row r="22" spans="1:11" ht="12.95" customHeight="1">
      <c r="A22" s="76"/>
      <c r="B22" s="51" t="s">
        <v>29</v>
      </c>
      <c r="C22" s="37"/>
      <c r="D22" s="37" t="s">
        <v>17</v>
      </c>
      <c r="E22" s="38">
        <v>794</v>
      </c>
      <c r="F22" s="39" t="s">
        <v>18</v>
      </c>
      <c r="G22" s="42">
        <v>8</v>
      </c>
      <c r="H22" s="53">
        <f>(Tabelle1[[#This Row],[ca. Anzahl
Titel pro Jahr]]*14.5)</f>
        <v>116</v>
      </c>
      <c r="I22" s="41">
        <f t="shared" si="0"/>
        <v>0</v>
      </c>
      <c r="J22" s="17"/>
      <c r="K22" s="17"/>
    </row>
    <row r="23" spans="1:11" ht="12.95" customHeight="1">
      <c r="A23" s="76"/>
      <c r="B23" s="51" t="s">
        <v>30</v>
      </c>
      <c r="C23" s="37"/>
      <c r="D23" s="37" t="s">
        <v>31</v>
      </c>
      <c r="E23" s="38">
        <v>4166</v>
      </c>
      <c r="F23" s="39" t="s">
        <v>21</v>
      </c>
      <c r="G23" s="42">
        <v>1</v>
      </c>
      <c r="H23" s="53">
        <v>18.5</v>
      </c>
      <c r="I23" s="41">
        <f t="shared" si="0"/>
        <v>0</v>
      </c>
      <c r="J23" s="17"/>
      <c r="K23" s="17"/>
    </row>
    <row r="24" spans="1:11" ht="12.95" customHeight="1">
      <c r="A24" s="76"/>
      <c r="B24" s="62" t="s">
        <v>668</v>
      </c>
      <c r="C24" s="37"/>
      <c r="D24" s="37" t="s">
        <v>31</v>
      </c>
      <c r="E24" s="38">
        <v>5794</v>
      </c>
      <c r="F24" s="39" t="s">
        <v>21</v>
      </c>
      <c r="G24" s="42">
        <v>1</v>
      </c>
      <c r="H24" s="53">
        <v>14.5</v>
      </c>
      <c r="I24" s="41">
        <f t="shared" si="0"/>
        <v>0</v>
      </c>
      <c r="J24" s="17"/>
      <c r="K24" s="17"/>
    </row>
    <row r="25" spans="1:11" ht="12.95" customHeight="1">
      <c r="A25" s="76"/>
      <c r="B25" s="62" t="s">
        <v>926</v>
      </c>
      <c r="C25" s="37"/>
      <c r="D25" s="54" t="s">
        <v>50</v>
      </c>
      <c r="E25" s="38">
        <v>5949</v>
      </c>
      <c r="F25" s="55" t="s">
        <v>927</v>
      </c>
      <c r="G25" s="42">
        <v>3</v>
      </c>
      <c r="H25" s="53">
        <v>14.5</v>
      </c>
      <c r="I25" s="41">
        <f t="shared" si="0"/>
        <v>0</v>
      </c>
      <c r="J25" s="17"/>
      <c r="K25" s="17"/>
    </row>
    <row r="26" spans="1:11" ht="12.95" customHeight="1">
      <c r="A26" s="76"/>
      <c r="B26" s="51" t="s">
        <v>669</v>
      </c>
      <c r="C26" s="37"/>
      <c r="D26" s="37" t="s">
        <v>670</v>
      </c>
      <c r="E26" s="38">
        <v>5795</v>
      </c>
      <c r="F26" s="39" t="s">
        <v>21</v>
      </c>
      <c r="G26" s="42">
        <v>1</v>
      </c>
      <c r="H26" s="53">
        <f>(Tabelle1[[#This Row],[ca. Anzahl
Titel pro Jahr]]*24.9)</f>
        <v>24.9</v>
      </c>
      <c r="I26" s="41">
        <f t="shared" si="0"/>
        <v>0</v>
      </c>
      <c r="J26" s="17"/>
      <c r="K26" s="17"/>
    </row>
    <row r="27" spans="1:11" ht="12.95" customHeight="1">
      <c r="A27" s="76"/>
      <c r="B27" s="62" t="s">
        <v>529</v>
      </c>
      <c r="C27" s="37"/>
      <c r="D27" s="37" t="s">
        <v>31</v>
      </c>
      <c r="E27" s="38">
        <v>5556</v>
      </c>
      <c r="F27" s="39" t="s">
        <v>334</v>
      </c>
      <c r="G27" s="42">
        <v>1</v>
      </c>
      <c r="H27" s="53">
        <f>(Tabelle1[[#This Row],[ca. Anzahl
Titel pro Jahr]]*14.7)</f>
        <v>14.7</v>
      </c>
      <c r="I27" s="41">
        <f t="shared" si="0"/>
        <v>0</v>
      </c>
      <c r="J27" s="17"/>
      <c r="K27" s="17"/>
    </row>
    <row r="28" spans="1:11" ht="12.95" customHeight="1">
      <c r="A28" s="76"/>
      <c r="B28" s="62" t="s">
        <v>1053</v>
      </c>
      <c r="C28" s="37"/>
      <c r="D28" s="54" t="s">
        <v>65</v>
      </c>
      <c r="E28" s="38">
        <v>6028</v>
      </c>
      <c r="F28" s="55" t="s">
        <v>1054</v>
      </c>
      <c r="G28" s="42">
        <v>1</v>
      </c>
      <c r="H28" s="53">
        <v>22.9</v>
      </c>
      <c r="I28" s="41">
        <f>A28*H28</f>
        <v>0</v>
      </c>
      <c r="J28" s="17"/>
      <c r="K28" s="17"/>
    </row>
    <row r="29" spans="1:11" ht="12.95" customHeight="1">
      <c r="A29" s="76"/>
      <c r="B29" s="51" t="s">
        <v>622</v>
      </c>
      <c r="C29" s="37"/>
      <c r="D29" s="37" t="s">
        <v>34</v>
      </c>
      <c r="E29" s="38">
        <v>4321</v>
      </c>
      <c r="F29" s="39" t="s">
        <v>18</v>
      </c>
      <c r="G29" s="42">
        <v>8</v>
      </c>
      <c r="H29" s="53">
        <f>(Tabelle1[[#This Row],[ca. Anzahl
Titel pro Jahr]]*14.5)</f>
        <v>116</v>
      </c>
      <c r="I29" s="41">
        <f t="shared" si="0"/>
        <v>0</v>
      </c>
      <c r="J29" s="17"/>
      <c r="K29" s="17"/>
    </row>
    <row r="30" spans="1:11" ht="12.95" customHeight="1">
      <c r="A30" s="76"/>
      <c r="B30" s="62" t="s">
        <v>623</v>
      </c>
      <c r="C30" s="37"/>
      <c r="D30" s="37" t="s">
        <v>34</v>
      </c>
      <c r="E30" s="38">
        <v>4163</v>
      </c>
      <c r="F30" s="39" t="s">
        <v>18</v>
      </c>
      <c r="G30" s="42">
        <v>8</v>
      </c>
      <c r="H30" s="53">
        <f>(Tabelle1[[#This Row],[ca. Anzahl
Titel pro Jahr]]*14.5)</f>
        <v>116</v>
      </c>
      <c r="I30" s="41">
        <f t="shared" si="0"/>
        <v>0</v>
      </c>
      <c r="J30" s="17"/>
      <c r="K30" s="17"/>
    </row>
    <row r="31" spans="1:11" ht="12.95" customHeight="1">
      <c r="A31" s="76"/>
      <c r="B31" s="62" t="s">
        <v>718</v>
      </c>
      <c r="C31" s="37"/>
      <c r="D31" s="54" t="s">
        <v>933</v>
      </c>
      <c r="E31" s="38">
        <v>5648</v>
      </c>
      <c r="F31" s="55" t="s">
        <v>596</v>
      </c>
      <c r="G31" s="42">
        <v>1</v>
      </c>
      <c r="H31" s="53">
        <v>22.9</v>
      </c>
      <c r="I31" s="41">
        <f t="shared" si="0"/>
        <v>0</v>
      </c>
      <c r="J31" s="17"/>
      <c r="K31" s="17"/>
    </row>
    <row r="32" spans="1:11" ht="12.95" customHeight="1">
      <c r="A32" s="76"/>
      <c r="B32" s="51" t="s">
        <v>492</v>
      </c>
      <c r="C32" s="37"/>
      <c r="D32" s="37" t="s">
        <v>31</v>
      </c>
      <c r="E32" s="38">
        <v>5472</v>
      </c>
      <c r="F32" s="39" t="s">
        <v>334</v>
      </c>
      <c r="G32" s="42">
        <v>1</v>
      </c>
      <c r="H32" s="53">
        <f>(Tabelle1[[#This Row],[ca. Anzahl
Titel pro Jahr]]*17.7)</f>
        <v>17.7</v>
      </c>
      <c r="I32" s="41">
        <f t="shared" si="0"/>
        <v>0</v>
      </c>
      <c r="J32" s="17"/>
      <c r="K32" s="17"/>
    </row>
    <row r="33" spans="1:11" ht="12.95" customHeight="1">
      <c r="A33" s="76"/>
      <c r="B33" s="62" t="s">
        <v>719</v>
      </c>
      <c r="C33" s="37"/>
      <c r="D33" s="54" t="s">
        <v>38</v>
      </c>
      <c r="E33" s="38">
        <v>5515</v>
      </c>
      <c r="F33" s="55" t="s">
        <v>594</v>
      </c>
      <c r="G33" s="42">
        <v>1</v>
      </c>
      <c r="H33" s="53">
        <f>(Tabelle1[[#This Row],[ca. Anzahl
Titel pro Jahr]]*22.5)</f>
        <v>22.5</v>
      </c>
      <c r="I33" s="41">
        <f t="shared" si="0"/>
        <v>0</v>
      </c>
      <c r="J33" s="17"/>
      <c r="K33" s="17"/>
    </row>
    <row r="34" spans="1:11" ht="12.95" customHeight="1">
      <c r="A34" s="76"/>
      <c r="B34" s="51" t="s">
        <v>671</v>
      </c>
      <c r="C34" s="37"/>
      <c r="D34" s="37" t="s">
        <v>17</v>
      </c>
      <c r="E34" s="38">
        <v>5796</v>
      </c>
      <c r="F34" s="39" t="s">
        <v>583</v>
      </c>
      <c r="G34" s="42">
        <v>1</v>
      </c>
      <c r="H34" s="53">
        <f>(Tabelle1[[#This Row],[ca. Anzahl
Titel pro Jahr]]*17.5)</f>
        <v>17.5</v>
      </c>
      <c r="I34" s="41">
        <f t="shared" si="0"/>
        <v>0</v>
      </c>
      <c r="J34" s="17"/>
      <c r="K34" s="17"/>
    </row>
    <row r="35" spans="1:11" ht="12.95" customHeight="1">
      <c r="A35" s="76"/>
      <c r="B35" s="62" t="s">
        <v>934</v>
      </c>
      <c r="C35" s="37"/>
      <c r="D35" s="54" t="s">
        <v>17</v>
      </c>
      <c r="E35" s="38">
        <v>5977</v>
      </c>
      <c r="F35" s="55" t="s">
        <v>935</v>
      </c>
      <c r="G35" s="42">
        <v>1</v>
      </c>
      <c r="H35" s="53">
        <v>17.5</v>
      </c>
      <c r="I35" s="41">
        <f t="shared" si="0"/>
        <v>0</v>
      </c>
      <c r="J35" s="17"/>
      <c r="K35" s="17"/>
    </row>
    <row r="36" spans="1:11" ht="12.95" customHeight="1">
      <c r="A36" s="76"/>
      <c r="B36" s="62" t="s">
        <v>36</v>
      </c>
      <c r="C36" s="37"/>
      <c r="D36" s="37" t="s">
        <v>37</v>
      </c>
      <c r="E36" s="38">
        <v>4733</v>
      </c>
      <c r="F36" s="39" t="s">
        <v>25</v>
      </c>
      <c r="G36" s="42">
        <v>1</v>
      </c>
      <c r="H36" s="53">
        <f>(Tabelle1[[#This Row],[ca. Anzahl
Titel pro Jahr]]*21.5)</f>
        <v>21.5</v>
      </c>
      <c r="I36" s="41">
        <f t="shared" si="0"/>
        <v>0</v>
      </c>
      <c r="J36" s="17"/>
      <c r="K36" s="17"/>
    </row>
    <row r="37" spans="1:11" ht="12.95" customHeight="1">
      <c r="A37" s="76"/>
      <c r="B37" s="51" t="s">
        <v>40</v>
      </c>
      <c r="C37" s="37"/>
      <c r="D37" s="37" t="s">
        <v>17</v>
      </c>
      <c r="E37" s="38">
        <v>8</v>
      </c>
      <c r="F37" s="39" t="s">
        <v>25</v>
      </c>
      <c r="G37" s="42">
        <v>1</v>
      </c>
      <c r="H37" s="53">
        <f>(Tabelle1[[#This Row],[ca. Anzahl
Titel pro Jahr]]*15.9)</f>
        <v>15.9</v>
      </c>
      <c r="I37" s="41">
        <f t="shared" si="0"/>
        <v>0</v>
      </c>
      <c r="J37" s="17"/>
      <c r="K37" s="17"/>
    </row>
    <row r="38" spans="1:11" ht="12.95" customHeight="1">
      <c r="A38" s="76"/>
      <c r="B38" s="62" t="s">
        <v>624</v>
      </c>
      <c r="C38" s="37"/>
      <c r="D38" s="37" t="s">
        <v>17</v>
      </c>
      <c r="E38" s="38">
        <v>2623</v>
      </c>
      <c r="F38" s="39" t="s">
        <v>18</v>
      </c>
      <c r="G38" s="42">
        <v>2</v>
      </c>
      <c r="H38" s="53">
        <f>(Tabelle1[[#This Row],[ca. Anzahl
Titel pro Jahr]]*14.5)</f>
        <v>29</v>
      </c>
      <c r="I38" s="41">
        <f t="shared" si="0"/>
        <v>0</v>
      </c>
      <c r="J38" s="92"/>
      <c r="K38" s="17"/>
    </row>
    <row r="39" spans="1:11" ht="12.95" customHeight="1">
      <c r="A39" s="76"/>
      <c r="B39" s="51" t="s">
        <v>530</v>
      </c>
      <c r="C39" s="37"/>
      <c r="D39" s="37" t="s">
        <v>17</v>
      </c>
      <c r="E39" s="38">
        <v>5540</v>
      </c>
      <c r="F39" s="39" t="s">
        <v>25</v>
      </c>
      <c r="G39" s="42">
        <v>1</v>
      </c>
      <c r="H39" s="53">
        <f>(Tabelle1[[#This Row],[ca. Anzahl
Titel pro Jahr]]*18.5)</f>
        <v>18.5</v>
      </c>
      <c r="I39" s="41">
        <f t="shared" si="0"/>
        <v>0</v>
      </c>
      <c r="J39" s="17"/>
      <c r="K39" s="17"/>
    </row>
    <row r="40" spans="1:11" ht="12.95" customHeight="1">
      <c r="A40" s="76"/>
      <c r="B40" s="62" t="s">
        <v>41</v>
      </c>
      <c r="C40" s="37"/>
      <c r="D40" s="37" t="s">
        <v>37</v>
      </c>
      <c r="E40" s="38">
        <v>5003</v>
      </c>
      <c r="F40" s="39" t="s">
        <v>42</v>
      </c>
      <c r="G40" s="42">
        <v>1</v>
      </c>
      <c r="H40" s="53">
        <f>(Tabelle1[[#This Row],[ca. Anzahl
Titel pro Jahr]]*36.5)</f>
        <v>36.5</v>
      </c>
      <c r="I40" s="41">
        <f t="shared" si="0"/>
        <v>0</v>
      </c>
      <c r="J40" s="17"/>
      <c r="K40" s="17"/>
    </row>
    <row r="41" spans="1:11" ht="12.95" customHeight="1">
      <c r="A41" s="76"/>
      <c r="B41" s="51" t="s">
        <v>44</v>
      </c>
      <c r="C41" s="37"/>
      <c r="D41" s="37" t="s">
        <v>45</v>
      </c>
      <c r="E41" s="38">
        <v>2291</v>
      </c>
      <c r="F41" s="39" t="s">
        <v>18</v>
      </c>
      <c r="G41" s="42">
        <v>15</v>
      </c>
      <c r="H41" s="53">
        <f>(Tabelle1[[#This Row],[ca. Anzahl
Titel pro Jahr]]*14.5)</f>
        <v>217.5</v>
      </c>
      <c r="I41" s="41">
        <f t="shared" si="0"/>
        <v>0</v>
      </c>
      <c r="J41" s="17"/>
      <c r="K41" s="17"/>
    </row>
    <row r="42" spans="1:11" ht="12.95" customHeight="1">
      <c r="A42" s="76"/>
      <c r="B42" s="62" t="s">
        <v>46</v>
      </c>
      <c r="C42" s="37"/>
      <c r="D42" s="37" t="s">
        <v>45</v>
      </c>
      <c r="E42" s="38">
        <v>2290</v>
      </c>
      <c r="F42" s="39" t="s">
        <v>18</v>
      </c>
      <c r="G42" s="42">
        <v>6</v>
      </c>
      <c r="H42" s="53">
        <f>(Tabelle1[[#This Row],[ca. Anzahl
Titel pro Jahr]]*14.5)</f>
        <v>87</v>
      </c>
      <c r="I42" s="41">
        <f t="shared" si="0"/>
        <v>0</v>
      </c>
      <c r="J42" s="17"/>
      <c r="K42" s="17"/>
    </row>
    <row r="43" spans="1:11" ht="12.95" customHeight="1">
      <c r="A43" s="76"/>
      <c r="B43" s="62" t="s">
        <v>720</v>
      </c>
      <c r="C43" s="37"/>
      <c r="D43" s="54" t="s">
        <v>77</v>
      </c>
      <c r="E43" s="38">
        <v>5651</v>
      </c>
      <c r="F43" s="55" t="s">
        <v>857</v>
      </c>
      <c r="G43" s="42">
        <v>1</v>
      </c>
      <c r="H43" s="53">
        <v>10</v>
      </c>
      <c r="I43" s="41">
        <f t="shared" si="0"/>
        <v>0</v>
      </c>
      <c r="J43" s="17"/>
      <c r="K43" s="17"/>
    </row>
    <row r="44" spans="1:11" ht="12.95" customHeight="1">
      <c r="A44" s="76"/>
      <c r="B44" s="51" t="s">
        <v>713</v>
      </c>
      <c r="C44" s="37"/>
      <c r="D44" s="37" t="s">
        <v>714</v>
      </c>
      <c r="E44" s="38">
        <v>4390</v>
      </c>
      <c r="F44" s="39" t="s">
        <v>715</v>
      </c>
      <c r="G44" s="42">
        <v>1</v>
      </c>
      <c r="H44" s="53">
        <f>(Tabelle1[[#This Row],[ca. Anzahl
Titel pro Jahr]]*17.9)</f>
        <v>17.899999999999999</v>
      </c>
      <c r="I44" s="41">
        <f t="shared" si="0"/>
        <v>0</v>
      </c>
      <c r="J44" s="17"/>
      <c r="K44" s="17"/>
    </row>
    <row r="45" spans="1:11" ht="12.95" customHeight="1">
      <c r="A45" s="76"/>
      <c r="B45" s="62" t="s">
        <v>47</v>
      </c>
      <c r="C45" s="37"/>
      <c r="D45" s="37" t="s">
        <v>48</v>
      </c>
      <c r="E45" s="38">
        <v>1140</v>
      </c>
      <c r="F45" s="39" t="s">
        <v>33</v>
      </c>
      <c r="G45" s="42">
        <v>1</v>
      </c>
      <c r="H45" s="53">
        <v>15.5</v>
      </c>
      <c r="I45" s="41">
        <f t="shared" si="0"/>
        <v>0</v>
      </c>
      <c r="J45" s="17"/>
      <c r="K45" s="17"/>
    </row>
    <row r="46" spans="1:11" ht="12.95" customHeight="1">
      <c r="A46" s="76"/>
      <c r="B46" s="51" t="s">
        <v>49</v>
      </c>
      <c r="C46" s="37"/>
      <c r="D46" s="37" t="s">
        <v>50</v>
      </c>
      <c r="E46" s="38">
        <v>4529</v>
      </c>
      <c r="F46" s="39" t="s">
        <v>51</v>
      </c>
      <c r="G46" s="42">
        <v>1</v>
      </c>
      <c r="H46" s="53">
        <f>(Tabelle1[[#This Row],[ca. Anzahl
Titel pro Jahr]]*18.5)</f>
        <v>18.5</v>
      </c>
      <c r="I46" s="41">
        <f t="shared" si="0"/>
        <v>0</v>
      </c>
      <c r="J46" s="17"/>
      <c r="K46" s="17"/>
    </row>
    <row r="47" spans="1:11" ht="12.95" customHeight="1">
      <c r="A47" s="76"/>
      <c r="B47" s="51" t="s">
        <v>722</v>
      </c>
      <c r="C47" s="37"/>
      <c r="D47" s="54" t="s">
        <v>52</v>
      </c>
      <c r="E47" s="38">
        <v>5017</v>
      </c>
      <c r="F47" s="55" t="s">
        <v>858</v>
      </c>
      <c r="G47" s="42">
        <v>1</v>
      </c>
      <c r="H47" s="53">
        <v>15.5</v>
      </c>
      <c r="I47" s="41">
        <f t="shared" si="0"/>
        <v>0</v>
      </c>
      <c r="J47" s="17"/>
      <c r="K47" s="17"/>
    </row>
    <row r="48" spans="1:11" ht="12.95" customHeight="1">
      <c r="A48" s="76"/>
      <c r="B48" s="62" t="s">
        <v>521</v>
      </c>
      <c r="C48" s="37"/>
      <c r="D48" s="37" t="s">
        <v>522</v>
      </c>
      <c r="E48" s="38">
        <v>2545</v>
      </c>
      <c r="F48" s="39" t="s">
        <v>51</v>
      </c>
      <c r="G48" s="42">
        <v>1</v>
      </c>
      <c r="H48" s="53">
        <f>(Tabelle1[[#This Row],[ca. Anzahl
Titel pro Jahr]]*22.9)</f>
        <v>22.9</v>
      </c>
      <c r="I48" s="41">
        <f t="shared" si="0"/>
        <v>0</v>
      </c>
      <c r="J48" s="17"/>
      <c r="K48" s="17"/>
    </row>
    <row r="49" spans="1:11" ht="12.95" customHeight="1">
      <c r="A49" s="76"/>
      <c r="B49" s="51" t="s">
        <v>53</v>
      </c>
      <c r="C49" s="37"/>
      <c r="D49" s="37" t="s">
        <v>14</v>
      </c>
      <c r="E49" s="38">
        <v>4469</v>
      </c>
      <c r="F49" s="39" t="s">
        <v>54</v>
      </c>
      <c r="G49" s="42">
        <v>2</v>
      </c>
      <c r="H49" s="53">
        <f>(Tabelle1[[#This Row],[ca. Anzahl
Titel pro Jahr]]*14.5)</f>
        <v>29</v>
      </c>
      <c r="I49" s="41">
        <f t="shared" si="0"/>
        <v>0</v>
      </c>
      <c r="J49" s="17"/>
      <c r="K49" s="17"/>
    </row>
    <row r="50" spans="1:11" ht="12.95" customHeight="1">
      <c r="A50" s="76"/>
      <c r="B50" s="62" t="s">
        <v>390</v>
      </c>
      <c r="C50" s="37"/>
      <c r="D50" s="37" t="s">
        <v>17</v>
      </c>
      <c r="E50" s="38">
        <v>5156</v>
      </c>
      <c r="F50" s="39" t="s">
        <v>334</v>
      </c>
      <c r="G50" s="42">
        <v>2</v>
      </c>
      <c r="H50" s="53">
        <f>(Tabelle1[[#This Row],[ca. Anzahl
Titel pro Jahr]]*14.5)</f>
        <v>29</v>
      </c>
      <c r="I50" s="41">
        <f t="shared" si="0"/>
        <v>0</v>
      </c>
      <c r="J50" s="17"/>
      <c r="K50" s="17"/>
    </row>
    <row r="51" spans="1:11" ht="12.95" customHeight="1">
      <c r="A51" s="76"/>
      <c r="B51" s="51" t="s">
        <v>723</v>
      </c>
      <c r="C51" s="37"/>
      <c r="D51" s="37" t="s">
        <v>67</v>
      </c>
      <c r="E51" s="38">
        <v>5313</v>
      </c>
      <c r="F51" s="55" t="s">
        <v>859</v>
      </c>
      <c r="G51" s="42">
        <v>1</v>
      </c>
      <c r="H51" s="53">
        <v>14.9</v>
      </c>
      <c r="I51" s="41">
        <f t="shared" si="0"/>
        <v>0</v>
      </c>
      <c r="J51" s="17"/>
      <c r="K51" s="17"/>
    </row>
    <row r="52" spans="1:11" ht="12.95" customHeight="1">
      <c r="A52" s="76"/>
      <c r="B52" s="62" t="s">
        <v>455</v>
      </c>
      <c r="C52" s="37"/>
      <c r="D52" s="37" t="s">
        <v>17</v>
      </c>
      <c r="E52" s="38">
        <v>5405</v>
      </c>
      <c r="F52" s="39" t="s">
        <v>457</v>
      </c>
      <c r="G52" s="42">
        <v>1</v>
      </c>
      <c r="H52" s="53">
        <f>(Tabelle1[[#This Row],[ca. Anzahl
Titel pro Jahr]]*15.9)</f>
        <v>15.9</v>
      </c>
      <c r="I52" s="41">
        <f t="shared" si="0"/>
        <v>0</v>
      </c>
      <c r="J52" s="17"/>
      <c r="K52" s="17"/>
    </row>
    <row r="53" spans="1:11" ht="12.95" customHeight="1">
      <c r="A53" s="76"/>
      <c r="B53" s="51" t="s">
        <v>524</v>
      </c>
      <c r="C53" s="37"/>
      <c r="D53" s="37" t="s">
        <v>58</v>
      </c>
      <c r="E53" s="38">
        <v>5460</v>
      </c>
      <c r="F53" s="39" t="s">
        <v>57</v>
      </c>
      <c r="G53" s="42">
        <v>1</v>
      </c>
      <c r="H53" s="53">
        <f>(Tabelle1[[#This Row],[ca. Anzahl
Titel pro Jahr]]*20.5)</f>
        <v>20.5</v>
      </c>
      <c r="I53" s="41">
        <f t="shared" si="0"/>
        <v>0</v>
      </c>
      <c r="J53" s="17"/>
      <c r="K53" s="17"/>
    </row>
    <row r="54" spans="1:11" ht="12.95" customHeight="1">
      <c r="A54" s="76"/>
      <c r="B54" s="62" t="s">
        <v>724</v>
      </c>
      <c r="C54" s="37"/>
      <c r="D54" s="37" t="s">
        <v>58</v>
      </c>
      <c r="E54" s="38">
        <v>5885</v>
      </c>
      <c r="F54" s="55" t="s">
        <v>57</v>
      </c>
      <c r="G54" s="42">
        <v>1</v>
      </c>
      <c r="H54" s="53">
        <f>(Tabelle1[[#This Row],[ca. Anzahl
Titel pro Jahr]]*18.5)</f>
        <v>18.5</v>
      </c>
      <c r="I54" s="41">
        <f t="shared" si="0"/>
        <v>0</v>
      </c>
      <c r="J54" s="17"/>
      <c r="K54" s="17"/>
    </row>
    <row r="55" spans="1:11" ht="12.95" customHeight="1">
      <c r="A55" s="76"/>
      <c r="B55" s="62" t="s">
        <v>368</v>
      </c>
      <c r="C55" s="37"/>
      <c r="D55" s="37" t="s">
        <v>62</v>
      </c>
      <c r="E55" s="38">
        <v>5228</v>
      </c>
      <c r="F55" s="39" t="s">
        <v>57</v>
      </c>
      <c r="G55" s="42">
        <v>1</v>
      </c>
      <c r="H55" s="53">
        <v>18.5</v>
      </c>
      <c r="I55" s="41">
        <f t="shared" si="0"/>
        <v>0</v>
      </c>
      <c r="J55" s="17"/>
      <c r="K55" s="17"/>
    </row>
    <row r="56" spans="1:11" ht="12.95" customHeight="1">
      <c r="A56" s="76"/>
      <c r="B56" s="62" t="s">
        <v>56</v>
      </c>
      <c r="C56" s="37"/>
      <c r="D56" s="37" t="s">
        <v>37</v>
      </c>
      <c r="E56" s="38">
        <v>1044</v>
      </c>
      <c r="F56" s="39" t="s">
        <v>57</v>
      </c>
      <c r="G56" s="42">
        <v>1</v>
      </c>
      <c r="H56" s="53">
        <f>(Tabelle1[[#This Row],[ca. Anzahl
Titel pro Jahr]]*14.5)</f>
        <v>14.5</v>
      </c>
      <c r="I56" s="41">
        <f t="shared" si="0"/>
        <v>0</v>
      </c>
      <c r="J56" s="17"/>
      <c r="K56" s="17"/>
    </row>
    <row r="57" spans="1:11" ht="12.95" customHeight="1">
      <c r="A57" s="76"/>
      <c r="B57" s="51" t="s">
        <v>672</v>
      </c>
      <c r="C57" s="37"/>
      <c r="D57" s="37" t="s">
        <v>17</v>
      </c>
      <c r="E57" s="38">
        <v>5797</v>
      </c>
      <c r="F57" s="39" t="s">
        <v>458</v>
      </c>
      <c r="G57" s="42">
        <v>1</v>
      </c>
      <c r="H57" s="53">
        <f>(Tabelle1[[#This Row],[ca. Anzahl
Titel pro Jahr]]*20.5)</f>
        <v>20.5</v>
      </c>
      <c r="I57" s="41">
        <f t="shared" si="0"/>
        <v>0</v>
      </c>
      <c r="J57" s="17"/>
      <c r="K57" s="17"/>
    </row>
    <row r="58" spans="1:11" ht="12.95" customHeight="1">
      <c r="A58" s="76"/>
      <c r="B58" s="62" t="s">
        <v>490</v>
      </c>
      <c r="C58" s="37"/>
      <c r="D58" s="37" t="s">
        <v>491</v>
      </c>
      <c r="E58" s="38">
        <v>5474</v>
      </c>
      <c r="F58" s="39" t="s">
        <v>57</v>
      </c>
      <c r="G58" s="42">
        <v>1</v>
      </c>
      <c r="H58" s="53">
        <f>(Tabelle1[[#This Row],[ca. Anzahl
Titel pro Jahr]]*21.5)</f>
        <v>21.5</v>
      </c>
      <c r="I58" s="41">
        <f t="shared" si="0"/>
        <v>0</v>
      </c>
      <c r="J58" s="17"/>
      <c r="K58" s="17"/>
    </row>
    <row r="59" spans="1:11" ht="12.95" customHeight="1">
      <c r="A59" s="76"/>
      <c r="B59" s="51" t="s">
        <v>408</v>
      </c>
      <c r="C59" s="37"/>
      <c r="D59" s="37" t="s">
        <v>52</v>
      </c>
      <c r="E59" s="38">
        <v>5291</v>
      </c>
      <c r="F59" s="39" t="s">
        <v>409</v>
      </c>
      <c r="G59" s="42">
        <v>1</v>
      </c>
      <c r="H59" s="53">
        <f>(Tabelle1[[#This Row],[ca. Anzahl
Titel pro Jahr]]*18.5)</f>
        <v>18.5</v>
      </c>
      <c r="I59" s="41">
        <f t="shared" si="0"/>
        <v>0</v>
      </c>
      <c r="J59" s="17"/>
      <c r="K59" s="17"/>
    </row>
    <row r="60" spans="1:11" ht="12.95" customHeight="1">
      <c r="A60" s="76"/>
      <c r="B60" s="62" t="s">
        <v>59</v>
      </c>
      <c r="C60" s="37"/>
      <c r="D60" s="37" t="s">
        <v>34</v>
      </c>
      <c r="E60" s="38">
        <v>41</v>
      </c>
      <c r="F60" s="39" t="s">
        <v>57</v>
      </c>
      <c r="G60" s="42">
        <v>2</v>
      </c>
      <c r="H60" s="53">
        <f>(Tabelle1[[#This Row],[ca. Anzahl
Titel pro Jahr]]*16.9)</f>
        <v>33.799999999999997</v>
      </c>
      <c r="I60" s="41">
        <f t="shared" si="0"/>
        <v>0</v>
      </c>
      <c r="J60" s="17"/>
      <c r="K60" s="17"/>
    </row>
    <row r="61" spans="1:11" ht="12.95" customHeight="1">
      <c r="A61" s="76"/>
      <c r="B61" s="51" t="s">
        <v>635</v>
      </c>
      <c r="C61" s="37"/>
      <c r="D61" s="37" t="s">
        <v>34</v>
      </c>
      <c r="E61" s="38">
        <v>734</v>
      </c>
      <c r="F61" s="39" t="s">
        <v>57</v>
      </c>
      <c r="G61" s="42">
        <v>2</v>
      </c>
      <c r="H61" s="53">
        <v>19</v>
      </c>
      <c r="I61" s="41">
        <f t="shared" si="0"/>
        <v>0</v>
      </c>
      <c r="J61" s="17"/>
      <c r="K61" s="17"/>
    </row>
    <row r="62" spans="1:11" ht="12.95" customHeight="1">
      <c r="A62" s="76"/>
      <c r="B62" s="62" t="s">
        <v>505</v>
      </c>
      <c r="C62" s="37"/>
      <c r="D62" s="37" t="s">
        <v>34</v>
      </c>
      <c r="E62" s="38">
        <v>5506</v>
      </c>
      <c r="F62" s="39" t="s">
        <v>57</v>
      </c>
      <c r="G62" s="42">
        <v>1</v>
      </c>
      <c r="H62" s="53">
        <f>(Tabelle1[[#This Row],[ca. Anzahl
Titel pro Jahr]]*16.9)</f>
        <v>16.899999999999999</v>
      </c>
      <c r="I62" s="41">
        <f t="shared" si="0"/>
        <v>0</v>
      </c>
      <c r="J62" s="17"/>
      <c r="K62" s="17"/>
    </row>
    <row r="63" spans="1:11" ht="12.95" customHeight="1">
      <c r="A63" s="76"/>
      <c r="B63" s="51" t="s">
        <v>488</v>
      </c>
      <c r="C63" s="37"/>
      <c r="D63" s="37" t="s">
        <v>468</v>
      </c>
      <c r="E63" s="38">
        <v>5475</v>
      </c>
      <c r="F63" s="39" t="s">
        <v>489</v>
      </c>
      <c r="G63" s="42">
        <v>1</v>
      </c>
      <c r="H63" s="53">
        <f>(Tabelle1[[#This Row],[ca. Anzahl
Titel pro Jahr]]*12.9)</f>
        <v>12.9</v>
      </c>
      <c r="I63" s="41">
        <f t="shared" si="0"/>
        <v>0</v>
      </c>
      <c r="J63" s="17"/>
      <c r="K63" s="17"/>
    </row>
    <row r="64" spans="1:11" ht="12.95" customHeight="1">
      <c r="A64" s="76"/>
      <c r="B64" s="62" t="s">
        <v>939</v>
      </c>
      <c r="C64" s="37"/>
      <c r="D64" s="54" t="s">
        <v>48</v>
      </c>
      <c r="E64" s="38">
        <v>5929</v>
      </c>
      <c r="F64" s="55" t="s">
        <v>940</v>
      </c>
      <c r="G64" s="42">
        <v>1</v>
      </c>
      <c r="H64" s="53">
        <v>18</v>
      </c>
      <c r="I64" s="41">
        <f t="shared" si="0"/>
        <v>0</v>
      </c>
      <c r="J64" s="17"/>
      <c r="K64" s="17"/>
    </row>
    <row r="65" spans="1:11" ht="12.95" customHeight="1">
      <c r="A65" s="76"/>
      <c r="B65" s="62" t="s">
        <v>591</v>
      </c>
      <c r="C65" s="37"/>
      <c r="D65" s="37" t="s">
        <v>32</v>
      </c>
      <c r="E65" s="38">
        <v>5672</v>
      </c>
      <c r="F65" s="39" t="s">
        <v>592</v>
      </c>
      <c r="G65" s="42">
        <v>1</v>
      </c>
      <c r="H65" s="53">
        <f>(Tabelle1[[#This Row],[ca. Anzahl
Titel pro Jahr]]*18.5)</f>
        <v>18.5</v>
      </c>
      <c r="I65" s="41">
        <f t="shared" si="0"/>
        <v>0</v>
      </c>
      <c r="J65" s="17"/>
      <c r="K65" s="17"/>
    </row>
    <row r="66" spans="1:11" ht="12.95" customHeight="1">
      <c r="A66" s="76"/>
      <c r="B66" s="51" t="s">
        <v>64</v>
      </c>
      <c r="C66" s="37"/>
      <c r="D66" s="37" t="s">
        <v>65</v>
      </c>
      <c r="E66" s="38">
        <v>3058</v>
      </c>
      <c r="F66" s="39" t="s">
        <v>20</v>
      </c>
      <c r="G66" s="42">
        <v>1</v>
      </c>
      <c r="H66" s="53">
        <f>(Tabelle1[[#This Row],[ca. Anzahl
Titel pro Jahr]]*22.5)</f>
        <v>22.5</v>
      </c>
      <c r="I66" s="41">
        <f t="shared" si="0"/>
        <v>0</v>
      </c>
      <c r="J66" s="17"/>
      <c r="K66" s="17"/>
    </row>
    <row r="67" spans="1:11" ht="12.95" customHeight="1">
      <c r="A67" s="76"/>
      <c r="B67" s="62" t="s">
        <v>587</v>
      </c>
      <c r="C67" s="37"/>
      <c r="D67" s="37" t="s">
        <v>588</v>
      </c>
      <c r="E67" s="38">
        <v>5674</v>
      </c>
      <c r="F67" s="39" t="s">
        <v>589</v>
      </c>
      <c r="G67" s="42">
        <v>1</v>
      </c>
      <c r="H67" s="53">
        <f>(Tabelle1[[#This Row],[ca. Anzahl
Titel pro Jahr]]*19.9)</f>
        <v>19.899999999999999</v>
      </c>
      <c r="I67" s="41">
        <f t="shared" si="0"/>
        <v>0</v>
      </c>
      <c r="J67" s="17"/>
      <c r="K67" s="17"/>
    </row>
    <row r="68" spans="1:11" ht="12.95" customHeight="1">
      <c r="A68" s="76"/>
      <c r="B68" s="62" t="s">
        <v>1025</v>
      </c>
      <c r="C68" s="37"/>
      <c r="D68" s="54" t="s">
        <v>34</v>
      </c>
      <c r="E68" s="38">
        <v>5998</v>
      </c>
      <c r="F68" s="55" t="s">
        <v>1026</v>
      </c>
      <c r="G68" s="42">
        <v>2</v>
      </c>
      <c r="H68" s="53">
        <v>37</v>
      </c>
      <c r="I68" s="41">
        <f>A68*H68</f>
        <v>0</v>
      </c>
      <c r="J68" s="17"/>
      <c r="K68" s="17"/>
    </row>
    <row r="69" spans="1:11" ht="12.95" customHeight="1">
      <c r="A69" s="76"/>
      <c r="B69" s="51" t="s">
        <v>66</v>
      </c>
      <c r="C69" s="37"/>
      <c r="D69" s="37" t="s">
        <v>15</v>
      </c>
      <c r="E69" s="38">
        <v>5016</v>
      </c>
      <c r="F69" s="39" t="s">
        <v>18</v>
      </c>
      <c r="G69" s="42">
        <v>1</v>
      </c>
      <c r="H69" s="53">
        <f>(Tabelle1[[#This Row],[ca. Anzahl
Titel pro Jahr]]*14.5)</f>
        <v>14.5</v>
      </c>
      <c r="I69" s="41">
        <f t="shared" si="0"/>
        <v>0</v>
      </c>
      <c r="J69" s="17"/>
      <c r="K69" s="17"/>
    </row>
    <row r="70" spans="1:11" ht="12.95" customHeight="1">
      <c r="A70" s="76"/>
      <c r="B70" s="62" t="s">
        <v>68</v>
      </c>
      <c r="C70" s="37"/>
      <c r="D70" s="37" t="s">
        <v>38</v>
      </c>
      <c r="E70" s="38">
        <v>4530</v>
      </c>
      <c r="F70" s="39" t="s">
        <v>51</v>
      </c>
      <c r="G70" s="42">
        <v>1</v>
      </c>
      <c r="H70" s="53">
        <f>(Tabelle1[[#This Row],[ca. Anzahl
Titel pro Jahr]]*21.5)</f>
        <v>21.5</v>
      </c>
      <c r="I70" s="41">
        <f t="shared" si="0"/>
        <v>0</v>
      </c>
      <c r="J70" s="17"/>
      <c r="K70" s="17"/>
    </row>
    <row r="71" spans="1:11" ht="12.95" customHeight="1">
      <c r="A71" s="76"/>
      <c r="B71" s="51" t="s">
        <v>725</v>
      </c>
      <c r="C71" s="37"/>
      <c r="D71" s="37" t="s">
        <v>32</v>
      </c>
      <c r="E71" s="38">
        <v>5628</v>
      </c>
      <c r="F71" s="55" t="s">
        <v>861</v>
      </c>
      <c r="G71" s="42">
        <v>2</v>
      </c>
      <c r="H71" s="53">
        <f>(Tabelle1[[#This Row],[ca. Anzahl
Titel pro Jahr]]*21.5)</f>
        <v>43</v>
      </c>
      <c r="I71" s="41">
        <f t="shared" si="0"/>
        <v>0</v>
      </c>
      <c r="J71" s="17"/>
      <c r="K71" s="17"/>
    </row>
    <row r="72" spans="1:11" ht="12.95" customHeight="1">
      <c r="A72" s="76"/>
      <c r="B72" s="62" t="s">
        <v>726</v>
      </c>
      <c r="C72" s="37"/>
      <c r="D72" s="37" t="s">
        <v>48</v>
      </c>
      <c r="E72" s="38">
        <v>2578</v>
      </c>
      <c r="F72" s="55" t="s">
        <v>594</v>
      </c>
      <c r="G72" s="42">
        <v>1</v>
      </c>
      <c r="H72" s="53">
        <v>17.5</v>
      </c>
      <c r="I72" s="41">
        <f t="shared" si="0"/>
        <v>0</v>
      </c>
      <c r="J72" s="17"/>
      <c r="K72" s="17"/>
    </row>
    <row r="73" spans="1:11" ht="12.95" customHeight="1">
      <c r="A73" s="76"/>
      <c r="B73" s="51" t="s">
        <v>410</v>
      </c>
      <c r="C73" s="37"/>
      <c r="D73" s="37" t="s">
        <v>88</v>
      </c>
      <c r="E73" s="38">
        <v>5292</v>
      </c>
      <c r="F73" s="39" t="s">
        <v>411</v>
      </c>
      <c r="G73" s="42">
        <v>1</v>
      </c>
      <c r="H73" s="53">
        <f>(Tabelle1[[#This Row],[ca. Anzahl
Titel pro Jahr]]*17.5)</f>
        <v>17.5</v>
      </c>
      <c r="I73" s="41">
        <f t="shared" si="0"/>
        <v>0</v>
      </c>
      <c r="J73" s="17"/>
      <c r="K73" s="17"/>
    </row>
    <row r="74" spans="1:11" ht="12.95" customHeight="1">
      <c r="A74" s="76"/>
      <c r="B74" s="62" t="s">
        <v>69</v>
      </c>
      <c r="C74" s="37"/>
      <c r="D74" s="37" t="s">
        <v>17</v>
      </c>
      <c r="E74" s="38">
        <v>4342</v>
      </c>
      <c r="F74" s="39" t="s">
        <v>18</v>
      </c>
      <c r="G74" s="42">
        <v>2</v>
      </c>
      <c r="H74" s="53">
        <v>31.8</v>
      </c>
      <c r="I74" s="41">
        <f t="shared" si="0"/>
        <v>0</v>
      </c>
      <c r="J74" s="17"/>
      <c r="K74" s="17"/>
    </row>
    <row r="75" spans="1:11" ht="12.95" customHeight="1">
      <c r="A75" s="76"/>
      <c r="B75" s="62" t="s">
        <v>70</v>
      </c>
      <c r="C75" s="37"/>
      <c r="D75" s="37" t="s">
        <v>50</v>
      </c>
      <c r="E75" s="38">
        <v>4555</v>
      </c>
      <c r="F75" s="39" t="s">
        <v>33</v>
      </c>
      <c r="G75" s="42">
        <v>1</v>
      </c>
      <c r="H75" s="53">
        <v>22.9</v>
      </c>
      <c r="I75" s="41">
        <f t="shared" si="0"/>
        <v>0</v>
      </c>
      <c r="J75" s="17"/>
      <c r="K75" s="17"/>
    </row>
    <row r="76" spans="1:11" ht="12.95" customHeight="1">
      <c r="A76" s="76"/>
      <c r="B76" s="62" t="s">
        <v>1044</v>
      </c>
      <c r="C76" s="37"/>
      <c r="D76" s="54" t="s">
        <v>88</v>
      </c>
      <c r="E76" s="38">
        <v>6022</v>
      </c>
      <c r="F76" s="55" t="s">
        <v>354</v>
      </c>
      <c r="G76" s="42">
        <v>1</v>
      </c>
      <c r="H76" s="53">
        <v>17.5</v>
      </c>
      <c r="I76" s="41">
        <f>A76*H76</f>
        <v>0</v>
      </c>
      <c r="J76" s="17"/>
      <c r="K76" s="17"/>
    </row>
    <row r="77" spans="1:11" ht="12.95" customHeight="1">
      <c r="A77" s="76"/>
      <c r="B77" s="51" t="s">
        <v>694</v>
      </c>
      <c r="C77" s="37"/>
      <c r="D77" s="37" t="s">
        <v>541</v>
      </c>
      <c r="E77" s="38">
        <v>5826</v>
      </c>
      <c r="F77" s="39" t="s">
        <v>695</v>
      </c>
      <c r="G77" s="42">
        <v>1</v>
      </c>
      <c r="H77" s="53">
        <f>(Tabelle1[[#This Row],[ca. Anzahl
Titel pro Jahr]]*17.5)</f>
        <v>17.5</v>
      </c>
      <c r="I77" s="41">
        <f t="shared" si="0"/>
        <v>0</v>
      </c>
      <c r="J77" s="17"/>
      <c r="K77" s="17"/>
    </row>
    <row r="78" spans="1:11" ht="12.95" customHeight="1">
      <c r="A78" s="76"/>
      <c r="B78" s="62" t="s">
        <v>71</v>
      </c>
      <c r="C78" s="37"/>
      <c r="D78" s="37" t="s">
        <v>19</v>
      </c>
      <c r="E78" s="38">
        <v>950</v>
      </c>
      <c r="F78" s="39" t="s">
        <v>21</v>
      </c>
      <c r="G78" s="42">
        <v>1</v>
      </c>
      <c r="H78" s="53">
        <v>18.5</v>
      </c>
      <c r="I78" s="41">
        <f t="shared" si="0"/>
        <v>0</v>
      </c>
      <c r="J78" s="17"/>
      <c r="K78" s="17"/>
    </row>
    <row r="79" spans="1:11" ht="12.95" customHeight="1">
      <c r="A79" s="76"/>
      <c r="B79" s="51" t="s">
        <v>727</v>
      </c>
      <c r="C79" s="37"/>
      <c r="D79" s="37" t="s">
        <v>19</v>
      </c>
      <c r="E79" s="38">
        <v>5606</v>
      </c>
      <c r="F79" s="55" t="s">
        <v>705</v>
      </c>
      <c r="G79" s="42">
        <v>1</v>
      </c>
      <c r="H79" s="53">
        <v>17.5</v>
      </c>
      <c r="I79" s="41">
        <f t="shared" si="0"/>
        <v>0</v>
      </c>
      <c r="J79" s="17"/>
      <c r="K79" s="17"/>
    </row>
    <row r="80" spans="1:11" ht="12.95" customHeight="1">
      <c r="A80" s="76"/>
      <c r="B80" s="62" t="s">
        <v>72</v>
      </c>
      <c r="C80" s="37"/>
      <c r="D80" s="37" t="s">
        <v>31</v>
      </c>
      <c r="E80" s="38">
        <v>4818</v>
      </c>
      <c r="F80" s="39" t="s">
        <v>73</v>
      </c>
      <c r="G80" s="42">
        <v>1</v>
      </c>
      <c r="H80" s="53">
        <v>14.5</v>
      </c>
      <c r="I80" s="41">
        <f t="shared" si="0"/>
        <v>0</v>
      </c>
      <c r="J80" s="17"/>
      <c r="K80" s="17"/>
    </row>
    <row r="81" spans="1:11" ht="12.95" customHeight="1">
      <c r="A81" s="76"/>
      <c r="B81" s="51" t="s">
        <v>728</v>
      </c>
      <c r="C81" s="37"/>
      <c r="D81" s="37" t="s">
        <v>17</v>
      </c>
      <c r="E81" s="38">
        <v>5844</v>
      </c>
      <c r="F81" s="55" t="s">
        <v>678</v>
      </c>
      <c r="G81" s="42">
        <v>1</v>
      </c>
      <c r="H81" s="53">
        <f>(Tabelle1[[#This Row],[ca. Anzahl
Titel pro Jahr]]*15.9)</f>
        <v>15.9</v>
      </c>
      <c r="I81" s="41">
        <f t="shared" ref="I81:I148" si="1">A81*H81</f>
        <v>0</v>
      </c>
      <c r="J81" s="17"/>
      <c r="K81" s="17"/>
    </row>
    <row r="82" spans="1:11" ht="12.95" customHeight="1">
      <c r="A82" s="76"/>
      <c r="B82" s="62" t="s">
        <v>696</v>
      </c>
      <c r="C82" s="37"/>
      <c r="D82" s="37" t="s">
        <v>61</v>
      </c>
      <c r="E82" s="38">
        <v>5824</v>
      </c>
      <c r="F82" s="39" t="s">
        <v>695</v>
      </c>
      <c r="G82" s="42">
        <v>1</v>
      </c>
      <c r="H82" s="53">
        <f>(Tabelle1[[#This Row],[ca. Anzahl
Titel pro Jahr]]*17.5)</f>
        <v>17.5</v>
      </c>
      <c r="I82" s="41">
        <f t="shared" si="1"/>
        <v>0</v>
      </c>
      <c r="J82" s="17"/>
      <c r="K82" s="17"/>
    </row>
    <row r="83" spans="1:11" ht="12.95" customHeight="1">
      <c r="A83" s="76"/>
      <c r="B83" s="62" t="s">
        <v>949</v>
      </c>
      <c r="C83" s="37"/>
      <c r="D83" s="54" t="s">
        <v>17</v>
      </c>
      <c r="E83" s="38">
        <v>5930</v>
      </c>
      <c r="F83" s="55" t="s">
        <v>950</v>
      </c>
      <c r="G83" s="42">
        <v>2</v>
      </c>
      <c r="H83" s="53">
        <v>35</v>
      </c>
      <c r="I83" s="41">
        <f t="shared" si="1"/>
        <v>0</v>
      </c>
      <c r="J83" s="17"/>
      <c r="K83" s="17"/>
    </row>
    <row r="84" spans="1:11" ht="12.95" customHeight="1">
      <c r="A84" s="76"/>
      <c r="B84" s="51" t="s">
        <v>74</v>
      </c>
      <c r="C84" s="37"/>
      <c r="D84" s="37" t="s">
        <v>19</v>
      </c>
      <c r="E84" s="38">
        <v>4942</v>
      </c>
      <c r="F84" s="39" t="s">
        <v>57</v>
      </c>
      <c r="G84" s="42">
        <v>1</v>
      </c>
      <c r="H84" s="53">
        <f>(Tabelle1[[#This Row],[ca. Anzahl
Titel pro Jahr]]*20.5)</f>
        <v>20.5</v>
      </c>
      <c r="I84" s="41">
        <f t="shared" si="1"/>
        <v>0</v>
      </c>
      <c r="J84" s="17"/>
      <c r="K84" s="17"/>
    </row>
    <row r="85" spans="1:11" ht="12.95" customHeight="1">
      <c r="A85" s="76"/>
      <c r="B85" s="62" t="s">
        <v>412</v>
      </c>
      <c r="C85" s="37"/>
      <c r="D85" s="37" t="s">
        <v>77</v>
      </c>
      <c r="E85" s="38">
        <v>5322</v>
      </c>
      <c r="F85" s="39" t="s">
        <v>413</v>
      </c>
      <c r="G85" s="42">
        <v>1</v>
      </c>
      <c r="H85" s="53">
        <v>17.5</v>
      </c>
      <c r="I85" s="41">
        <f t="shared" si="1"/>
        <v>0</v>
      </c>
      <c r="J85" s="17"/>
      <c r="K85" s="17"/>
    </row>
    <row r="86" spans="1:11" ht="12.95" customHeight="1">
      <c r="A86" s="76"/>
      <c r="B86" s="51" t="s">
        <v>75</v>
      </c>
      <c r="C86" s="37"/>
      <c r="D86" s="37" t="s">
        <v>31</v>
      </c>
      <c r="E86" s="38">
        <v>4201</v>
      </c>
      <c r="F86" s="39" t="s">
        <v>76</v>
      </c>
      <c r="G86" s="42">
        <v>1</v>
      </c>
      <c r="H86" s="53">
        <f>(Tabelle1[[#This Row],[ca. Anzahl
Titel pro Jahr]]*17.5)</f>
        <v>17.5</v>
      </c>
      <c r="I86" s="41">
        <f t="shared" si="1"/>
        <v>0</v>
      </c>
      <c r="J86" s="17"/>
      <c r="K86" s="17"/>
    </row>
    <row r="87" spans="1:11" ht="12.95" customHeight="1">
      <c r="A87" s="76"/>
      <c r="B87" s="62" t="s">
        <v>673</v>
      </c>
      <c r="C87" s="37"/>
      <c r="D87" s="37" t="s">
        <v>52</v>
      </c>
      <c r="E87" s="38">
        <v>5798</v>
      </c>
      <c r="F87" s="39" t="s">
        <v>80</v>
      </c>
      <c r="G87" s="42">
        <v>1</v>
      </c>
      <c r="H87" s="53">
        <f>(Tabelle1[[#This Row],[ca. Anzahl
Titel pro Jahr]]*21.5)</f>
        <v>21.5</v>
      </c>
      <c r="I87" s="41">
        <f t="shared" si="1"/>
        <v>0</v>
      </c>
      <c r="J87" s="17"/>
      <c r="K87" s="17"/>
    </row>
    <row r="88" spans="1:11" ht="12.95" customHeight="1">
      <c r="A88" s="76"/>
      <c r="B88" s="62" t="s">
        <v>414</v>
      </c>
      <c r="C88" s="37"/>
      <c r="D88" s="37" t="s">
        <v>86</v>
      </c>
      <c r="E88" s="38">
        <v>5378</v>
      </c>
      <c r="F88" s="39" t="s">
        <v>415</v>
      </c>
      <c r="G88" s="42">
        <v>1</v>
      </c>
      <c r="H88" s="53">
        <f>(Tabelle1[[#This Row],[ca. Anzahl
Titel pro Jahr]]*21.5)</f>
        <v>21.5</v>
      </c>
      <c r="I88" s="41">
        <f t="shared" si="1"/>
        <v>0</v>
      </c>
      <c r="J88" s="17"/>
      <c r="K88" s="17"/>
    </row>
    <row r="89" spans="1:11" ht="12.95" customHeight="1">
      <c r="A89" s="76"/>
      <c r="B89" s="51" t="s">
        <v>531</v>
      </c>
      <c r="C89" s="37"/>
      <c r="D89" s="37" t="s">
        <v>61</v>
      </c>
      <c r="E89" s="38">
        <v>5541</v>
      </c>
      <c r="F89" s="39" t="s">
        <v>51</v>
      </c>
      <c r="G89" s="42">
        <v>1</v>
      </c>
      <c r="H89" s="53">
        <f>(Tabelle1[[#This Row],[ca. Anzahl
Titel pro Jahr]]*21.5)</f>
        <v>21.5</v>
      </c>
      <c r="I89" s="41">
        <f t="shared" si="1"/>
        <v>0</v>
      </c>
      <c r="J89" s="17"/>
      <c r="K89" s="17"/>
    </row>
    <row r="90" spans="1:11" ht="12.95" customHeight="1">
      <c r="A90" s="76"/>
      <c r="B90" s="62" t="s">
        <v>497</v>
      </c>
      <c r="C90" s="37"/>
      <c r="D90" s="37" t="s">
        <v>34</v>
      </c>
      <c r="E90" s="38">
        <v>5488</v>
      </c>
      <c r="F90" s="39" t="s">
        <v>498</v>
      </c>
      <c r="G90" s="42">
        <v>1</v>
      </c>
      <c r="H90" s="53">
        <f>(Tabelle1[[#This Row],[ca. Anzahl
Titel pro Jahr]]*16.9)</f>
        <v>16.899999999999999</v>
      </c>
      <c r="I90" s="41">
        <f t="shared" si="1"/>
        <v>0</v>
      </c>
      <c r="J90" s="17"/>
      <c r="K90" s="17"/>
    </row>
    <row r="91" spans="1:11" ht="12.95" customHeight="1">
      <c r="A91" s="76"/>
      <c r="B91" s="51" t="s">
        <v>674</v>
      </c>
      <c r="C91" s="37"/>
      <c r="D91" s="37" t="s">
        <v>173</v>
      </c>
      <c r="E91" s="38">
        <v>5799</v>
      </c>
      <c r="F91" s="39" t="s">
        <v>337</v>
      </c>
      <c r="G91" s="42">
        <v>1</v>
      </c>
      <c r="H91" s="53">
        <f>(Tabelle1[[#This Row],[ca. Anzahl
Titel pro Jahr]]*14.5)</f>
        <v>14.5</v>
      </c>
      <c r="I91" s="41">
        <f t="shared" si="1"/>
        <v>0</v>
      </c>
      <c r="J91" s="17"/>
      <c r="K91" s="17"/>
    </row>
    <row r="92" spans="1:11" ht="12.95" customHeight="1">
      <c r="A92" s="76"/>
      <c r="B92" s="62" t="s">
        <v>729</v>
      </c>
      <c r="C92" s="37"/>
      <c r="D92" s="37" t="s">
        <v>730</v>
      </c>
      <c r="E92" s="38">
        <v>5909</v>
      </c>
      <c r="F92" s="55" t="s">
        <v>334</v>
      </c>
      <c r="G92" s="42">
        <v>5</v>
      </c>
      <c r="H92" s="53">
        <f>(Tabelle1[[#This Row],[ca. Anzahl
Titel pro Jahr]]*14.5)</f>
        <v>72.5</v>
      </c>
      <c r="I92" s="41">
        <f t="shared" si="1"/>
        <v>0</v>
      </c>
      <c r="J92" s="17"/>
      <c r="K92" s="17"/>
    </row>
    <row r="93" spans="1:11" ht="12.95" customHeight="1">
      <c r="A93" s="76"/>
      <c r="B93" s="51" t="s">
        <v>625</v>
      </c>
      <c r="C93" s="37"/>
      <c r="D93" s="37" t="s">
        <v>14</v>
      </c>
      <c r="E93" s="38">
        <v>5560</v>
      </c>
      <c r="F93" s="39" t="s">
        <v>532</v>
      </c>
      <c r="G93" s="42">
        <v>1</v>
      </c>
      <c r="H93" s="53">
        <f>(Tabelle1[[#This Row],[ca. Anzahl
Titel pro Jahr]]*14.5)</f>
        <v>14.5</v>
      </c>
      <c r="I93" s="41">
        <f t="shared" si="1"/>
        <v>0</v>
      </c>
      <c r="J93" s="17"/>
      <c r="K93" s="17"/>
    </row>
    <row r="94" spans="1:11" ht="12.95" customHeight="1">
      <c r="A94" s="76"/>
      <c r="B94" s="62" t="s">
        <v>951</v>
      </c>
      <c r="C94" s="37"/>
      <c r="D94" s="37" t="s">
        <v>77</v>
      </c>
      <c r="E94" s="38">
        <v>4838</v>
      </c>
      <c r="F94" s="39" t="s">
        <v>51</v>
      </c>
      <c r="G94" s="42">
        <v>1</v>
      </c>
      <c r="H94" s="53">
        <v>21.5</v>
      </c>
      <c r="I94" s="41">
        <f t="shared" si="1"/>
        <v>0</v>
      </c>
      <c r="J94" s="17"/>
      <c r="K94" s="17"/>
    </row>
    <row r="95" spans="1:11" ht="12.95" customHeight="1">
      <c r="A95" s="76"/>
      <c r="B95" s="51" t="s">
        <v>506</v>
      </c>
      <c r="C95" s="37"/>
      <c r="D95" s="37" t="s">
        <v>37</v>
      </c>
      <c r="E95" s="38">
        <v>5516</v>
      </c>
      <c r="F95" s="39" t="s">
        <v>21</v>
      </c>
      <c r="G95" s="42">
        <v>1</v>
      </c>
      <c r="H95" s="53">
        <v>20.5</v>
      </c>
      <c r="I95" s="41">
        <f t="shared" si="1"/>
        <v>0</v>
      </c>
      <c r="J95" s="17"/>
      <c r="K95" s="17"/>
    </row>
    <row r="96" spans="1:11" ht="12.95" customHeight="1">
      <c r="A96" s="76"/>
      <c r="B96" s="51" t="s">
        <v>78</v>
      </c>
      <c r="C96" s="37"/>
      <c r="D96" s="37" t="s">
        <v>79</v>
      </c>
      <c r="E96" s="38">
        <v>4741</v>
      </c>
      <c r="F96" s="39" t="s">
        <v>25</v>
      </c>
      <c r="G96" s="42">
        <v>3</v>
      </c>
      <c r="H96" s="53">
        <f>(Tabelle1[[#This Row],[ca. Anzahl
Titel pro Jahr]]*14.5)</f>
        <v>43.5</v>
      </c>
      <c r="I96" s="41">
        <f t="shared" si="1"/>
        <v>0</v>
      </c>
      <c r="J96" s="17"/>
      <c r="K96" s="17"/>
    </row>
    <row r="97" spans="1:11" ht="12.95" customHeight="1">
      <c r="A97" s="76"/>
      <c r="B97" s="62" t="s">
        <v>731</v>
      </c>
      <c r="C97" s="37"/>
      <c r="D97" s="37" t="s">
        <v>17</v>
      </c>
      <c r="E97" s="38">
        <v>5843</v>
      </c>
      <c r="F97" s="55" t="s">
        <v>860</v>
      </c>
      <c r="G97" s="42">
        <v>2</v>
      </c>
      <c r="H97" s="53">
        <v>29</v>
      </c>
      <c r="I97" s="41">
        <f t="shared" si="1"/>
        <v>0</v>
      </c>
      <c r="J97" s="17"/>
      <c r="K97" s="17"/>
    </row>
    <row r="98" spans="1:11" ht="12.95" customHeight="1">
      <c r="A98" s="76"/>
      <c r="B98" s="62" t="s">
        <v>533</v>
      </c>
      <c r="C98" s="37"/>
      <c r="D98" s="37" t="s">
        <v>152</v>
      </c>
      <c r="E98" s="38">
        <v>5538</v>
      </c>
      <c r="F98" s="39" t="s">
        <v>33</v>
      </c>
      <c r="G98" s="42">
        <v>4</v>
      </c>
      <c r="H98" s="53">
        <f>(Tabelle1[[#This Row],[ca. Anzahl
Titel pro Jahr]]*14.5)</f>
        <v>58</v>
      </c>
      <c r="I98" s="41">
        <f t="shared" si="1"/>
        <v>0</v>
      </c>
      <c r="J98" s="17"/>
      <c r="K98" s="17"/>
    </row>
    <row r="99" spans="1:11" ht="12.95" customHeight="1">
      <c r="A99" s="76"/>
      <c r="B99" s="51" t="s">
        <v>82</v>
      </c>
      <c r="C99" s="37"/>
      <c r="D99" s="37" t="s">
        <v>45</v>
      </c>
      <c r="E99" s="38">
        <v>45</v>
      </c>
      <c r="F99" s="39" t="s">
        <v>57</v>
      </c>
      <c r="G99" s="42">
        <v>1</v>
      </c>
      <c r="H99" s="53">
        <f>(Tabelle1[[#This Row],[ca. Anzahl
Titel pro Jahr]]*14.5)</f>
        <v>14.5</v>
      </c>
      <c r="I99" s="41">
        <f t="shared" si="1"/>
        <v>0</v>
      </c>
      <c r="J99" s="17"/>
      <c r="K99" s="17"/>
    </row>
    <row r="100" spans="1:11" ht="12.95" customHeight="1">
      <c r="A100" s="76"/>
      <c r="B100" s="62" t="s">
        <v>487</v>
      </c>
      <c r="C100" s="37"/>
      <c r="D100" s="37" t="s">
        <v>468</v>
      </c>
      <c r="E100" s="38">
        <v>5477</v>
      </c>
      <c r="F100" s="39" t="s">
        <v>57</v>
      </c>
      <c r="G100" s="42">
        <v>1</v>
      </c>
      <c r="H100" s="53">
        <f>(Tabelle1[[#This Row],[ca. Anzahl
Titel pro Jahr]]*12.9)</f>
        <v>12.9</v>
      </c>
      <c r="I100" s="41">
        <f t="shared" si="1"/>
        <v>0</v>
      </c>
      <c r="J100" s="17"/>
      <c r="K100" s="17"/>
    </row>
    <row r="101" spans="1:11" ht="12.95" customHeight="1">
      <c r="A101" s="76"/>
      <c r="B101" s="62" t="s">
        <v>1045</v>
      </c>
      <c r="C101" s="37"/>
      <c r="D101" s="54" t="s">
        <v>1046</v>
      </c>
      <c r="E101" s="38">
        <v>6023</v>
      </c>
      <c r="F101" s="55" t="s">
        <v>649</v>
      </c>
      <c r="G101" s="42">
        <v>1</v>
      </c>
      <c r="H101" s="53">
        <v>18.5</v>
      </c>
      <c r="I101" s="41">
        <f>A101*H101</f>
        <v>0</v>
      </c>
      <c r="J101" s="17"/>
      <c r="K101" s="17"/>
    </row>
    <row r="102" spans="1:11" ht="12.95" customHeight="1">
      <c r="A102" s="76"/>
      <c r="B102" s="51" t="s">
        <v>496</v>
      </c>
      <c r="C102" s="37"/>
      <c r="D102" s="37" t="s">
        <v>31</v>
      </c>
      <c r="E102" s="38">
        <v>5467</v>
      </c>
      <c r="F102" s="39" t="s">
        <v>18</v>
      </c>
      <c r="G102" s="42">
        <v>18</v>
      </c>
      <c r="H102" s="53">
        <f>(Tabelle1[[#This Row],[ca. Anzahl
Titel pro Jahr]]*13.5)</f>
        <v>243</v>
      </c>
      <c r="I102" s="41">
        <f t="shared" si="1"/>
        <v>0</v>
      </c>
      <c r="J102" s="17"/>
      <c r="K102" s="17"/>
    </row>
    <row r="103" spans="1:11" ht="12.95" customHeight="1">
      <c r="A103" s="76"/>
      <c r="B103" s="62" t="s">
        <v>732</v>
      </c>
      <c r="C103" s="37"/>
      <c r="D103" s="37" t="s">
        <v>676</v>
      </c>
      <c r="E103" s="38">
        <v>5640</v>
      </c>
      <c r="F103" s="55" t="s">
        <v>18</v>
      </c>
      <c r="G103" s="42">
        <v>8</v>
      </c>
      <c r="H103" s="53">
        <f>(Tabelle1[[#This Row],[ca. Anzahl
Titel pro Jahr]]*14.5)</f>
        <v>116</v>
      </c>
      <c r="I103" s="41">
        <f t="shared" si="1"/>
        <v>0</v>
      </c>
      <c r="J103" s="17"/>
      <c r="K103" s="17"/>
    </row>
    <row r="104" spans="1:11" ht="12.95" customHeight="1">
      <c r="A104" s="76"/>
      <c r="B104" s="51" t="s">
        <v>733</v>
      </c>
      <c r="C104" s="37"/>
      <c r="D104" s="37" t="s">
        <v>734</v>
      </c>
      <c r="E104" s="38">
        <v>5907</v>
      </c>
      <c r="F104" s="55" t="s">
        <v>18</v>
      </c>
      <c r="G104" s="42">
        <v>6</v>
      </c>
      <c r="H104" s="53">
        <f>(Tabelle1[[#This Row],[ca. Anzahl
Titel pro Jahr]]*14.5)</f>
        <v>87</v>
      </c>
      <c r="I104" s="41">
        <f t="shared" si="1"/>
        <v>0</v>
      </c>
      <c r="J104" s="17"/>
      <c r="K104" s="17"/>
    </row>
    <row r="105" spans="1:11" ht="12.95" customHeight="1">
      <c r="A105" s="76"/>
      <c r="B105" s="62" t="s">
        <v>83</v>
      </c>
      <c r="C105" s="37"/>
      <c r="D105" s="37" t="s">
        <v>77</v>
      </c>
      <c r="E105" s="38">
        <v>2542</v>
      </c>
      <c r="F105" s="39" t="s">
        <v>51</v>
      </c>
      <c r="G105" s="42">
        <v>1</v>
      </c>
      <c r="H105" s="53">
        <v>21.5</v>
      </c>
      <c r="I105" s="41">
        <f t="shared" si="1"/>
        <v>0</v>
      </c>
      <c r="J105" s="17"/>
      <c r="K105" s="17"/>
    </row>
    <row r="106" spans="1:11" ht="12.95" customHeight="1">
      <c r="A106" s="76"/>
      <c r="B106" s="51" t="s">
        <v>391</v>
      </c>
      <c r="C106" s="37"/>
      <c r="D106" s="37" t="s">
        <v>60</v>
      </c>
      <c r="E106" s="38">
        <v>5152</v>
      </c>
      <c r="F106" s="39" t="s">
        <v>333</v>
      </c>
      <c r="G106" s="42">
        <v>1</v>
      </c>
      <c r="H106" s="53">
        <f>(Tabelle1[[#This Row],[ca. Anzahl
Titel pro Jahr]]*20.5)</f>
        <v>20.5</v>
      </c>
      <c r="I106" s="41">
        <f t="shared" si="1"/>
        <v>0</v>
      </c>
      <c r="J106" s="17"/>
      <c r="K106" s="17"/>
    </row>
    <row r="107" spans="1:11" ht="12.95" customHeight="1">
      <c r="A107" s="76"/>
      <c r="B107" s="62" t="s">
        <v>534</v>
      </c>
      <c r="C107" s="37"/>
      <c r="D107" s="37" t="s">
        <v>15</v>
      </c>
      <c r="E107" s="38">
        <v>5562</v>
      </c>
      <c r="F107" s="39" t="s">
        <v>18</v>
      </c>
      <c r="G107" s="42">
        <v>1</v>
      </c>
      <c r="H107" s="53">
        <f>(Tabelle1[[#This Row],[ca. Anzahl
Titel pro Jahr]]*12.9)</f>
        <v>12.9</v>
      </c>
      <c r="I107" s="41">
        <f t="shared" si="1"/>
        <v>0</v>
      </c>
      <c r="J107" s="17"/>
      <c r="K107" s="17"/>
    </row>
    <row r="108" spans="1:11" ht="12.95" customHeight="1">
      <c r="A108" s="76"/>
      <c r="B108" s="51" t="s">
        <v>84</v>
      </c>
      <c r="C108" s="37"/>
      <c r="D108" s="37" t="s">
        <v>48</v>
      </c>
      <c r="E108" s="38">
        <v>922</v>
      </c>
      <c r="F108" s="39" t="s">
        <v>18</v>
      </c>
      <c r="G108" s="42">
        <v>2</v>
      </c>
      <c r="H108" s="53">
        <f>(Tabelle1[[#This Row],[ca. Anzahl
Titel pro Jahr]]*14.5)</f>
        <v>29</v>
      </c>
      <c r="I108" s="41">
        <f t="shared" si="1"/>
        <v>0</v>
      </c>
      <c r="J108" s="17"/>
      <c r="K108" s="17"/>
    </row>
    <row r="109" spans="1:11" ht="12.95" customHeight="1">
      <c r="A109" s="76"/>
      <c r="B109" s="62" t="s">
        <v>85</v>
      </c>
      <c r="C109" s="37"/>
      <c r="D109" s="37" t="s">
        <v>45</v>
      </c>
      <c r="E109" s="38">
        <v>3090</v>
      </c>
      <c r="F109" s="39" t="s">
        <v>25</v>
      </c>
      <c r="G109" s="42">
        <v>1</v>
      </c>
      <c r="H109" s="53">
        <v>14.5</v>
      </c>
      <c r="I109" s="41">
        <f t="shared" si="1"/>
        <v>0</v>
      </c>
      <c r="J109" s="17"/>
      <c r="K109" s="17"/>
    </row>
    <row r="110" spans="1:11" ht="12.95" customHeight="1">
      <c r="A110" s="76"/>
      <c r="B110" s="62" t="s">
        <v>1013</v>
      </c>
      <c r="C110" s="37"/>
      <c r="D110" s="54" t="s">
        <v>61</v>
      </c>
      <c r="E110" s="38">
        <v>5981</v>
      </c>
      <c r="F110" s="55" t="s">
        <v>355</v>
      </c>
      <c r="G110" s="42">
        <v>1</v>
      </c>
      <c r="H110" s="53">
        <v>17.5</v>
      </c>
      <c r="I110" s="41">
        <f>A110*H110</f>
        <v>0</v>
      </c>
      <c r="J110" s="17"/>
      <c r="K110" s="17"/>
    </row>
    <row r="111" spans="1:11" ht="12.95" customHeight="1">
      <c r="A111" s="76"/>
      <c r="B111" s="62" t="s">
        <v>958</v>
      </c>
      <c r="C111" s="37"/>
      <c r="D111" s="54" t="s">
        <v>172</v>
      </c>
      <c r="E111" s="38">
        <v>5626</v>
      </c>
      <c r="F111" s="55" t="s">
        <v>51</v>
      </c>
      <c r="G111" s="42">
        <v>1</v>
      </c>
      <c r="H111" s="53">
        <v>21.5</v>
      </c>
      <c r="I111" s="41">
        <f t="shared" si="1"/>
        <v>0</v>
      </c>
      <c r="J111" s="17"/>
      <c r="K111" s="17"/>
    </row>
    <row r="112" spans="1:11" ht="12.95" customHeight="1">
      <c r="A112" s="76"/>
      <c r="B112" s="62" t="s">
        <v>959</v>
      </c>
      <c r="C112" s="37"/>
      <c r="D112" s="54" t="s">
        <v>52</v>
      </c>
      <c r="E112" s="38">
        <v>5751</v>
      </c>
      <c r="F112" s="55" t="s">
        <v>471</v>
      </c>
      <c r="G112" s="42">
        <v>1</v>
      </c>
      <c r="H112" s="53">
        <v>17.5</v>
      </c>
      <c r="I112" s="41">
        <f t="shared" si="1"/>
        <v>0</v>
      </c>
      <c r="J112" s="17"/>
      <c r="K112" s="17"/>
    </row>
    <row r="113" spans="1:11" ht="12.95" customHeight="1">
      <c r="A113" s="76"/>
      <c r="B113" s="51" t="s">
        <v>689</v>
      </c>
      <c r="C113" s="37"/>
      <c r="D113" s="37" t="s">
        <v>690</v>
      </c>
      <c r="E113" s="38">
        <v>5809</v>
      </c>
      <c r="F113" s="39" t="s">
        <v>458</v>
      </c>
      <c r="G113" s="42">
        <v>1</v>
      </c>
      <c r="H113" s="53">
        <f>(Tabelle1[[#This Row],[ca. Anzahl
Titel pro Jahr]]*21.5)</f>
        <v>21.5</v>
      </c>
      <c r="I113" s="41">
        <f t="shared" si="1"/>
        <v>0</v>
      </c>
      <c r="J113" s="17"/>
      <c r="K113" s="17"/>
    </row>
    <row r="114" spans="1:11" ht="12.95" customHeight="1">
      <c r="A114" s="76"/>
      <c r="B114" s="62" t="s">
        <v>87</v>
      </c>
      <c r="C114" s="37"/>
      <c r="D114" s="37" t="s">
        <v>88</v>
      </c>
      <c r="E114" s="38">
        <v>5025</v>
      </c>
      <c r="F114" s="39" t="s">
        <v>25</v>
      </c>
      <c r="G114" s="42">
        <v>1</v>
      </c>
      <c r="H114" s="53">
        <f>(Tabelle1[[#This Row],[ca. Anzahl
Titel pro Jahr]]*20.5)</f>
        <v>20.5</v>
      </c>
      <c r="I114" s="41">
        <f t="shared" si="1"/>
        <v>0</v>
      </c>
      <c r="J114" s="17"/>
      <c r="K114" s="17"/>
    </row>
    <row r="115" spans="1:11" ht="12.95" customHeight="1">
      <c r="A115" s="76"/>
      <c r="B115" s="51" t="s">
        <v>416</v>
      </c>
      <c r="C115" s="37"/>
      <c r="D115" s="37" t="s">
        <v>17</v>
      </c>
      <c r="E115" s="38">
        <v>5348</v>
      </c>
      <c r="F115" s="39" t="s">
        <v>417</v>
      </c>
      <c r="G115" s="42">
        <v>1</v>
      </c>
      <c r="H115" s="53">
        <f>(Tabelle1[[#This Row],[ca. Anzahl
Titel pro Jahr]]*18.5)</f>
        <v>18.5</v>
      </c>
      <c r="I115" s="41">
        <f t="shared" si="1"/>
        <v>0</v>
      </c>
      <c r="J115" s="17"/>
      <c r="K115" s="17"/>
    </row>
    <row r="116" spans="1:11" ht="12.95" customHeight="1">
      <c r="A116" s="76"/>
      <c r="B116" s="62" t="s">
        <v>89</v>
      </c>
      <c r="C116" s="37"/>
      <c r="D116" s="37" t="s">
        <v>61</v>
      </c>
      <c r="E116" s="38">
        <v>4904</v>
      </c>
      <c r="F116" s="39" t="s">
        <v>90</v>
      </c>
      <c r="G116" s="42">
        <v>1</v>
      </c>
      <c r="H116" s="53">
        <f>(Tabelle1[[#This Row],[ca. Anzahl
Titel pro Jahr]]*22.9)</f>
        <v>22.9</v>
      </c>
      <c r="I116" s="41">
        <f t="shared" si="1"/>
        <v>0</v>
      </c>
      <c r="J116" s="17"/>
      <c r="K116" s="17"/>
    </row>
    <row r="117" spans="1:11" ht="12.95" customHeight="1">
      <c r="A117" s="76"/>
      <c r="B117" s="51" t="s">
        <v>626</v>
      </c>
      <c r="C117" s="37"/>
      <c r="D117" s="37" t="s">
        <v>48</v>
      </c>
      <c r="E117" s="38">
        <v>5081</v>
      </c>
      <c r="F117" s="39" t="s">
        <v>57</v>
      </c>
      <c r="G117" s="42">
        <v>2</v>
      </c>
      <c r="H117" s="53">
        <f>(Tabelle1[[#This Row],[ca. Anzahl
Titel pro Jahr]]*14.5)</f>
        <v>29</v>
      </c>
      <c r="I117" s="41">
        <f t="shared" si="1"/>
        <v>0</v>
      </c>
      <c r="J117" s="17"/>
      <c r="K117" s="17"/>
    </row>
    <row r="118" spans="1:11" ht="12.95" customHeight="1">
      <c r="A118" s="76"/>
      <c r="B118" s="62" t="s">
        <v>1047</v>
      </c>
      <c r="C118" s="37"/>
      <c r="D118" s="54" t="s">
        <v>61</v>
      </c>
      <c r="E118" s="38">
        <v>6024</v>
      </c>
      <c r="F118" s="55" t="s">
        <v>354</v>
      </c>
      <c r="G118" s="42">
        <v>1</v>
      </c>
      <c r="H118" s="53">
        <v>17.5</v>
      </c>
      <c r="I118" s="41">
        <f>A118*H118</f>
        <v>0</v>
      </c>
      <c r="J118" s="17"/>
      <c r="K118" s="17"/>
    </row>
    <row r="119" spans="1:11" ht="12.95" customHeight="1">
      <c r="A119" s="76"/>
      <c r="B119" s="62" t="s">
        <v>584</v>
      </c>
      <c r="C119" s="37"/>
      <c r="D119" s="37" t="s">
        <v>60</v>
      </c>
      <c r="E119" s="38">
        <v>5690</v>
      </c>
      <c r="F119" s="39" t="s">
        <v>51</v>
      </c>
      <c r="G119" s="42">
        <v>1</v>
      </c>
      <c r="H119" s="53">
        <v>25.5</v>
      </c>
      <c r="I119" s="41">
        <f t="shared" si="1"/>
        <v>0</v>
      </c>
      <c r="J119" s="17"/>
      <c r="K119" s="17"/>
    </row>
    <row r="120" spans="1:11" ht="12.95" customHeight="1">
      <c r="A120" s="76"/>
      <c r="B120" s="62" t="s">
        <v>961</v>
      </c>
      <c r="C120" s="37"/>
      <c r="D120" s="54" t="s">
        <v>759</v>
      </c>
      <c r="E120" s="38">
        <v>5650</v>
      </c>
      <c r="F120" s="55" t="s">
        <v>51</v>
      </c>
      <c r="G120" s="42">
        <v>1</v>
      </c>
      <c r="H120" s="53">
        <v>21.5</v>
      </c>
      <c r="I120" s="41">
        <f t="shared" si="1"/>
        <v>0</v>
      </c>
      <c r="J120" s="17"/>
      <c r="K120" s="17"/>
    </row>
    <row r="121" spans="1:11" ht="12.95" customHeight="1">
      <c r="A121" s="76"/>
      <c r="B121" s="81" t="s">
        <v>479</v>
      </c>
      <c r="C121" s="37"/>
      <c r="D121" s="37" t="s">
        <v>173</v>
      </c>
      <c r="E121" s="38">
        <v>5366</v>
      </c>
      <c r="F121" s="39" t="s">
        <v>33</v>
      </c>
      <c r="G121" s="42">
        <v>1</v>
      </c>
      <c r="H121" s="53">
        <f>(Tabelle1[[#This Row],[ca. Anzahl
Titel pro Jahr]]*11.9)</f>
        <v>11.9</v>
      </c>
      <c r="I121" s="41">
        <f t="shared" si="1"/>
        <v>0</v>
      </c>
      <c r="J121" s="17"/>
      <c r="K121" s="17"/>
    </row>
    <row r="122" spans="1:11" ht="12.95" customHeight="1">
      <c r="A122" s="76"/>
      <c r="B122" s="62" t="s">
        <v>418</v>
      </c>
      <c r="C122" s="37"/>
      <c r="D122" s="37" t="s">
        <v>58</v>
      </c>
      <c r="E122" s="38">
        <v>5337</v>
      </c>
      <c r="F122" s="39" t="s">
        <v>396</v>
      </c>
      <c r="G122" s="42">
        <v>1</v>
      </c>
      <c r="H122" s="53">
        <v>21.5</v>
      </c>
      <c r="I122" s="41">
        <f t="shared" si="1"/>
        <v>0</v>
      </c>
      <c r="J122" s="17"/>
      <c r="K122" s="17"/>
    </row>
    <row r="123" spans="1:11" ht="12.95" customHeight="1">
      <c r="A123" s="76"/>
      <c r="B123" s="51" t="s">
        <v>373</v>
      </c>
      <c r="C123" s="37"/>
      <c r="D123" s="37" t="s">
        <v>374</v>
      </c>
      <c r="E123" s="38">
        <v>5205</v>
      </c>
      <c r="F123" s="39" t="s">
        <v>51</v>
      </c>
      <c r="G123" s="42">
        <v>1</v>
      </c>
      <c r="H123" s="53">
        <f>(Tabelle1[[#This Row],[ca. Anzahl
Titel pro Jahr]]*25)</f>
        <v>25</v>
      </c>
      <c r="I123" s="41">
        <f t="shared" si="1"/>
        <v>0</v>
      </c>
      <c r="J123" s="17"/>
      <c r="K123" s="17"/>
    </row>
    <row r="124" spans="1:11" ht="12.95" customHeight="1">
      <c r="A124" s="76"/>
      <c r="B124" s="62" t="s">
        <v>735</v>
      </c>
      <c r="C124" s="37"/>
      <c r="D124" s="37" t="s">
        <v>736</v>
      </c>
      <c r="E124" s="38">
        <v>5840</v>
      </c>
      <c r="F124" s="55" t="s">
        <v>862</v>
      </c>
      <c r="G124" s="42">
        <v>2</v>
      </c>
      <c r="H124" s="53">
        <f>(Tabelle1[[#This Row],[ca. Anzahl
Titel pro Jahr]]*16.9)</f>
        <v>33.799999999999997</v>
      </c>
      <c r="I124" s="41">
        <f t="shared" si="1"/>
        <v>0</v>
      </c>
      <c r="J124" s="17"/>
      <c r="K124" s="17"/>
    </row>
    <row r="125" spans="1:11" ht="12.95" customHeight="1">
      <c r="A125" s="76"/>
      <c r="B125" s="51" t="s">
        <v>507</v>
      </c>
      <c r="C125" s="37"/>
      <c r="D125" s="37" t="s">
        <v>166</v>
      </c>
      <c r="E125" s="38">
        <v>5517</v>
      </c>
      <c r="F125" s="39" t="s">
        <v>396</v>
      </c>
      <c r="G125" s="42">
        <v>1</v>
      </c>
      <c r="H125" s="53">
        <f>(Tabelle1[[#This Row],[ca. Anzahl
Titel pro Jahr]]*21.5)</f>
        <v>21.5</v>
      </c>
      <c r="I125" s="41">
        <f t="shared" si="1"/>
        <v>0</v>
      </c>
      <c r="J125" s="17"/>
      <c r="K125" s="17"/>
    </row>
    <row r="126" spans="1:11" ht="12.95" customHeight="1">
      <c r="A126" s="76"/>
      <c r="B126" s="62" t="s">
        <v>965</v>
      </c>
      <c r="C126" s="37"/>
      <c r="D126" s="54" t="s">
        <v>92</v>
      </c>
      <c r="E126" s="38">
        <v>4929</v>
      </c>
      <c r="F126" s="55" t="s">
        <v>51</v>
      </c>
      <c r="G126" s="42">
        <v>1</v>
      </c>
      <c r="H126" s="53">
        <v>39.799999999999997</v>
      </c>
      <c r="I126" s="41">
        <f t="shared" si="1"/>
        <v>0</v>
      </c>
      <c r="J126" s="17"/>
      <c r="K126" s="17"/>
    </row>
    <row r="127" spans="1:11" ht="12.95" customHeight="1">
      <c r="A127" s="76"/>
      <c r="B127" s="51" t="s">
        <v>493</v>
      </c>
      <c r="C127" s="37"/>
      <c r="D127" s="37" t="s">
        <v>43</v>
      </c>
      <c r="E127" s="38">
        <v>5471</v>
      </c>
      <c r="F127" s="39" t="s">
        <v>93</v>
      </c>
      <c r="G127" s="42">
        <v>1</v>
      </c>
      <c r="H127" s="53">
        <f>(Tabelle1[[#This Row],[ca. Anzahl
Titel pro Jahr]]*20.5)</f>
        <v>20.5</v>
      </c>
      <c r="I127" s="41">
        <f t="shared" si="1"/>
        <v>0</v>
      </c>
      <c r="J127" s="17"/>
      <c r="K127" s="17"/>
    </row>
    <row r="128" spans="1:11" ht="12.95" customHeight="1">
      <c r="A128" s="76"/>
      <c r="B128" s="62" t="s">
        <v>968</v>
      </c>
      <c r="C128" s="37"/>
      <c r="D128" s="54" t="s">
        <v>65</v>
      </c>
      <c r="E128" s="38">
        <v>5936</v>
      </c>
      <c r="F128" s="55" t="s">
        <v>969</v>
      </c>
      <c r="G128" s="42">
        <v>3</v>
      </c>
      <c r="H128" s="53">
        <v>64.5</v>
      </c>
      <c r="I128" s="41">
        <f>A128*H128</f>
        <v>0</v>
      </c>
      <c r="J128" s="17"/>
      <c r="K128" s="17"/>
    </row>
    <row r="129" spans="1:11" ht="12.95" customHeight="1">
      <c r="A129" s="76"/>
      <c r="B129" s="62" t="s">
        <v>94</v>
      </c>
      <c r="C129" s="37"/>
      <c r="D129" s="37" t="s">
        <v>95</v>
      </c>
      <c r="E129" s="38">
        <v>4931</v>
      </c>
      <c r="F129" s="39" t="s">
        <v>96</v>
      </c>
      <c r="G129" s="42">
        <v>4</v>
      </c>
      <c r="H129" s="53">
        <f>(Tabelle1[[#This Row],[ca. Anzahl
Titel pro Jahr]]*19.5)</f>
        <v>78</v>
      </c>
      <c r="I129" s="41">
        <f t="shared" si="1"/>
        <v>0</v>
      </c>
      <c r="J129" s="17"/>
      <c r="K129" s="17"/>
    </row>
    <row r="130" spans="1:11" ht="12.95" customHeight="1">
      <c r="A130" s="76"/>
      <c r="B130" s="51" t="s">
        <v>97</v>
      </c>
      <c r="C130" s="37"/>
      <c r="D130" s="37" t="s">
        <v>31</v>
      </c>
      <c r="E130" s="38">
        <v>4098</v>
      </c>
      <c r="F130" s="39" t="s">
        <v>96</v>
      </c>
      <c r="G130" s="42">
        <v>3</v>
      </c>
      <c r="H130" s="53">
        <f>(Tabelle1[[#This Row],[ca. Anzahl
Titel pro Jahr]]*17.9)</f>
        <v>53.699999999999996</v>
      </c>
      <c r="I130" s="41">
        <f t="shared" si="1"/>
        <v>0</v>
      </c>
      <c r="J130" s="17"/>
      <c r="K130" s="17"/>
    </row>
    <row r="131" spans="1:11" ht="12.95" customHeight="1">
      <c r="A131" s="76"/>
      <c r="B131" s="62" t="s">
        <v>633</v>
      </c>
      <c r="C131" s="37"/>
      <c r="D131" s="37" t="s">
        <v>108</v>
      </c>
      <c r="E131" s="38">
        <v>5225</v>
      </c>
      <c r="F131" s="39" t="s">
        <v>133</v>
      </c>
      <c r="G131" s="42">
        <v>2</v>
      </c>
      <c r="H131" s="53">
        <f>(Tabelle1[[#This Row],[ca. Anzahl
Titel pro Jahr]]*11.9)</f>
        <v>23.8</v>
      </c>
      <c r="I131" s="41">
        <f t="shared" si="1"/>
        <v>0</v>
      </c>
      <c r="J131" s="17"/>
      <c r="K131" s="17"/>
    </row>
    <row r="132" spans="1:11" ht="12.95" customHeight="1">
      <c r="A132" s="76"/>
      <c r="B132" s="62" t="s">
        <v>737</v>
      </c>
      <c r="C132" s="37"/>
      <c r="D132" s="37" t="s">
        <v>34</v>
      </c>
      <c r="E132" s="38">
        <v>5645</v>
      </c>
      <c r="F132" s="55" t="s">
        <v>863</v>
      </c>
      <c r="G132" s="42">
        <v>3</v>
      </c>
      <c r="H132" s="53">
        <f>(Tabelle1[[#This Row],[ca. Anzahl
Titel pro Jahr]]*22.5)</f>
        <v>67.5</v>
      </c>
      <c r="I132" s="41">
        <f t="shared" si="1"/>
        <v>0</v>
      </c>
      <c r="J132" s="17"/>
      <c r="K132" s="17"/>
    </row>
    <row r="133" spans="1:11" ht="12.95" customHeight="1">
      <c r="A133" s="76"/>
      <c r="B133" s="51" t="s">
        <v>98</v>
      </c>
      <c r="C133" s="37"/>
      <c r="D133" s="37" t="s">
        <v>77</v>
      </c>
      <c r="E133" s="38">
        <v>4606</v>
      </c>
      <c r="F133" s="39" t="s">
        <v>99</v>
      </c>
      <c r="G133" s="42">
        <v>1</v>
      </c>
      <c r="H133" s="53">
        <f>(Tabelle1[[#This Row],[ca. Anzahl
Titel pro Jahr]]*14.5)</f>
        <v>14.5</v>
      </c>
      <c r="I133" s="41">
        <f t="shared" si="1"/>
        <v>0</v>
      </c>
      <c r="J133" s="17"/>
      <c r="K133" s="17"/>
    </row>
    <row r="134" spans="1:11" ht="12.95" customHeight="1">
      <c r="A134" s="76"/>
      <c r="B134" s="62" t="s">
        <v>738</v>
      </c>
      <c r="C134" s="37"/>
      <c r="D134" s="37" t="s">
        <v>739</v>
      </c>
      <c r="E134" s="38">
        <v>5597</v>
      </c>
      <c r="F134" s="55" t="s">
        <v>396</v>
      </c>
      <c r="G134" s="42">
        <v>1</v>
      </c>
      <c r="H134" s="53">
        <v>17.5</v>
      </c>
      <c r="I134" s="41">
        <f t="shared" si="1"/>
        <v>0</v>
      </c>
      <c r="J134" s="17"/>
      <c r="K134" s="17"/>
    </row>
    <row r="135" spans="1:11" ht="12.95" customHeight="1">
      <c r="A135" s="76"/>
      <c r="B135" s="51" t="s">
        <v>100</v>
      </c>
      <c r="C135" s="37"/>
      <c r="D135" s="37" t="s">
        <v>31</v>
      </c>
      <c r="E135" s="38">
        <v>4656</v>
      </c>
      <c r="F135" s="39" t="s">
        <v>25</v>
      </c>
      <c r="G135" s="42">
        <v>1</v>
      </c>
      <c r="H135" s="53">
        <f>(Tabelle1[[#This Row],[ca. Anzahl
Titel pro Jahr]]*17.5)</f>
        <v>17.5</v>
      </c>
      <c r="I135" s="41">
        <f t="shared" si="1"/>
        <v>0</v>
      </c>
      <c r="J135" s="17"/>
      <c r="K135" s="17"/>
    </row>
    <row r="136" spans="1:11" ht="12.95" customHeight="1">
      <c r="A136" s="76"/>
      <c r="B136" s="62" t="s">
        <v>1011</v>
      </c>
      <c r="C136" s="37"/>
      <c r="D136" s="54" t="s">
        <v>31</v>
      </c>
      <c r="E136" s="38">
        <v>5980</v>
      </c>
      <c r="F136" s="55" t="s">
        <v>1012</v>
      </c>
      <c r="G136" s="42">
        <v>1</v>
      </c>
      <c r="H136" s="53">
        <v>17.5</v>
      </c>
      <c r="I136" s="41">
        <f>A136*H136</f>
        <v>0</v>
      </c>
      <c r="J136" s="17"/>
      <c r="K136" s="17"/>
    </row>
    <row r="137" spans="1:11" ht="12.95" customHeight="1">
      <c r="A137" s="76"/>
      <c r="B137" s="62" t="s">
        <v>101</v>
      </c>
      <c r="C137" s="37"/>
      <c r="D137" s="37" t="s">
        <v>77</v>
      </c>
      <c r="E137" s="38">
        <v>2544</v>
      </c>
      <c r="F137" s="39" t="s">
        <v>102</v>
      </c>
      <c r="G137" s="42">
        <v>1</v>
      </c>
      <c r="H137" s="53">
        <f>(Tabelle1[[#This Row],[ca. Anzahl
Titel pro Jahr]]*21.5)</f>
        <v>21.5</v>
      </c>
      <c r="I137" s="41">
        <f t="shared" si="1"/>
        <v>0</v>
      </c>
      <c r="J137" s="17"/>
      <c r="K137" s="17"/>
    </row>
    <row r="138" spans="1:11" ht="12.95" customHeight="1">
      <c r="A138" s="76"/>
      <c r="B138" s="51" t="s">
        <v>494</v>
      </c>
      <c r="C138" s="37"/>
      <c r="D138" s="37" t="s">
        <v>26</v>
      </c>
      <c r="E138" s="38">
        <v>5469</v>
      </c>
      <c r="F138" s="39" t="s">
        <v>458</v>
      </c>
      <c r="G138" s="42">
        <v>1</v>
      </c>
      <c r="H138" s="53">
        <f>(Tabelle1[[#This Row],[ca. Anzahl
Titel pro Jahr]]*18.5)</f>
        <v>18.5</v>
      </c>
      <c r="I138" s="41">
        <f t="shared" si="1"/>
        <v>0</v>
      </c>
      <c r="J138" s="17"/>
      <c r="K138" s="17"/>
    </row>
    <row r="139" spans="1:11" ht="12.95" customHeight="1">
      <c r="A139" s="76"/>
      <c r="B139" s="62" t="s">
        <v>371</v>
      </c>
      <c r="C139" s="37"/>
      <c r="D139" s="37" t="s">
        <v>32</v>
      </c>
      <c r="E139" s="38">
        <v>5216</v>
      </c>
      <c r="F139" s="39" t="s">
        <v>372</v>
      </c>
      <c r="G139" s="42">
        <v>1</v>
      </c>
      <c r="H139" s="53">
        <f>(Tabelle1[[#This Row],[ca. Anzahl
Titel pro Jahr]]*20.5)</f>
        <v>20.5</v>
      </c>
      <c r="I139" s="41">
        <f t="shared" si="1"/>
        <v>0</v>
      </c>
      <c r="J139" s="17"/>
      <c r="K139" s="17"/>
    </row>
    <row r="140" spans="1:11" ht="12.95" customHeight="1">
      <c r="A140" s="76"/>
      <c r="B140" s="62" t="s">
        <v>1048</v>
      </c>
      <c r="C140" s="37"/>
      <c r="D140" s="54" t="s">
        <v>61</v>
      </c>
      <c r="E140" s="38">
        <v>6025</v>
      </c>
      <c r="F140" s="55" t="s">
        <v>1049</v>
      </c>
      <c r="G140" s="42">
        <v>1</v>
      </c>
      <c r="H140" s="53">
        <v>17.5</v>
      </c>
      <c r="I140" s="41">
        <f>A140*H140</f>
        <v>0</v>
      </c>
      <c r="J140" s="17"/>
      <c r="K140" s="17"/>
    </row>
    <row r="141" spans="1:11" ht="12.95" customHeight="1">
      <c r="A141" s="76"/>
      <c r="B141" s="51" t="s">
        <v>103</v>
      </c>
      <c r="C141" s="37"/>
      <c r="D141" s="37" t="s">
        <v>60</v>
      </c>
      <c r="E141" s="38">
        <v>2541</v>
      </c>
      <c r="F141" s="39" t="s">
        <v>104</v>
      </c>
      <c r="G141" s="42">
        <v>1</v>
      </c>
      <c r="H141" s="53">
        <f>(Tabelle1[[#This Row],[ca. Anzahl
Titel pro Jahr]]*21.5)</f>
        <v>21.5</v>
      </c>
      <c r="I141" s="41">
        <f t="shared" si="1"/>
        <v>0</v>
      </c>
      <c r="J141" s="17"/>
      <c r="K141" s="17"/>
    </row>
    <row r="142" spans="1:11" ht="12.95" customHeight="1">
      <c r="A142" s="76"/>
      <c r="B142" s="62" t="s">
        <v>648</v>
      </c>
      <c r="C142" s="37"/>
      <c r="D142" s="37" t="s">
        <v>61</v>
      </c>
      <c r="E142" s="38">
        <v>5761</v>
      </c>
      <c r="F142" s="39" t="s">
        <v>649</v>
      </c>
      <c r="G142" s="42">
        <v>1</v>
      </c>
      <c r="H142" s="53">
        <f>(Tabelle1[[#This Row],[ca. Anzahl
Titel pro Jahr]]*17.5)</f>
        <v>17.5</v>
      </c>
      <c r="I142" s="41">
        <f t="shared" si="1"/>
        <v>0</v>
      </c>
      <c r="J142" s="17"/>
      <c r="K142" s="17"/>
    </row>
    <row r="143" spans="1:11" ht="12.95" customHeight="1">
      <c r="A143" s="76"/>
      <c r="B143" s="83" t="s">
        <v>349</v>
      </c>
      <c r="C143" s="37"/>
      <c r="D143" s="37" t="s">
        <v>77</v>
      </c>
      <c r="E143" s="38">
        <v>5169</v>
      </c>
      <c r="F143" s="39" t="s">
        <v>18</v>
      </c>
      <c r="G143" s="42">
        <v>3</v>
      </c>
      <c r="H143" s="53">
        <f>(Tabelle1[[#This Row],[ca. Anzahl
Titel pro Jahr]]*14.5)</f>
        <v>43.5</v>
      </c>
      <c r="I143" s="41">
        <f t="shared" si="1"/>
        <v>0</v>
      </c>
      <c r="J143" s="17"/>
      <c r="K143" s="17"/>
    </row>
    <row r="144" spans="1:11" ht="12.95" customHeight="1">
      <c r="A144" s="76"/>
      <c r="B144" s="51" t="s">
        <v>740</v>
      </c>
      <c r="C144" s="37"/>
      <c r="D144" s="37" t="s">
        <v>676</v>
      </c>
      <c r="E144" s="38">
        <v>5627</v>
      </c>
      <c r="F144" s="55" t="s">
        <v>864</v>
      </c>
      <c r="G144" s="42">
        <v>1</v>
      </c>
      <c r="H144" s="53">
        <f>(Tabelle1[[#This Row],[ca. Anzahl
Titel pro Jahr]]*20.5)</f>
        <v>20.5</v>
      </c>
      <c r="I144" s="41">
        <f t="shared" si="1"/>
        <v>0</v>
      </c>
      <c r="J144" s="17"/>
      <c r="K144" s="17"/>
    </row>
    <row r="145" spans="1:11" ht="12.95" customHeight="1">
      <c r="A145" s="76"/>
      <c r="B145" s="62" t="s">
        <v>105</v>
      </c>
      <c r="C145" s="37"/>
      <c r="D145" s="37" t="s">
        <v>627</v>
      </c>
      <c r="E145" s="38">
        <v>2550</v>
      </c>
      <c r="F145" s="39" t="s">
        <v>51</v>
      </c>
      <c r="G145" s="42">
        <v>1</v>
      </c>
      <c r="H145" s="53">
        <f>(Tabelle1[[#This Row],[ca. Anzahl
Titel pro Jahr]]*22.9)</f>
        <v>22.9</v>
      </c>
      <c r="I145" s="41">
        <f t="shared" si="1"/>
        <v>0</v>
      </c>
      <c r="J145" s="17"/>
      <c r="K145" s="17"/>
    </row>
    <row r="146" spans="1:11" ht="12.95" customHeight="1">
      <c r="A146" s="76"/>
      <c r="B146" s="51" t="s">
        <v>419</v>
      </c>
      <c r="C146" s="37"/>
      <c r="D146" s="37" t="s">
        <v>61</v>
      </c>
      <c r="E146" s="38">
        <v>5347</v>
      </c>
      <c r="F146" s="39" t="s">
        <v>420</v>
      </c>
      <c r="G146" s="42">
        <v>2</v>
      </c>
      <c r="H146" s="53">
        <f>(Tabelle1[[#This Row],[ca. Anzahl
Titel pro Jahr]]*22.9)</f>
        <v>45.8</v>
      </c>
      <c r="I146" s="41">
        <f t="shared" si="1"/>
        <v>0</v>
      </c>
      <c r="J146" s="17"/>
      <c r="K146" s="17"/>
    </row>
    <row r="147" spans="1:11" ht="12.95" customHeight="1">
      <c r="A147" s="76"/>
      <c r="B147" s="62" t="s">
        <v>697</v>
      </c>
      <c r="C147" s="37"/>
      <c r="D147" s="37" t="s">
        <v>19</v>
      </c>
      <c r="E147" s="38">
        <v>5823</v>
      </c>
      <c r="F147" s="39" t="s">
        <v>472</v>
      </c>
      <c r="G147" s="42">
        <v>1</v>
      </c>
      <c r="H147" s="53">
        <f>(Tabelle1[[#This Row],[ca. Anzahl
Titel pro Jahr]]*17.5)</f>
        <v>17.5</v>
      </c>
      <c r="I147" s="41">
        <f t="shared" si="1"/>
        <v>0</v>
      </c>
      <c r="J147" s="17"/>
      <c r="K147" s="17"/>
    </row>
    <row r="148" spans="1:11" ht="12.95" customHeight="1">
      <c r="A148" s="76"/>
      <c r="B148" s="51" t="s">
        <v>328</v>
      </c>
      <c r="C148" s="37"/>
      <c r="D148" s="37" t="s">
        <v>17</v>
      </c>
      <c r="E148" s="38">
        <v>5072</v>
      </c>
      <c r="F148" s="39" t="s">
        <v>57</v>
      </c>
      <c r="G148" s="42">
        <v>1</v>
      </c>
      <c r="H148" s="53">
        <f>(Tabelle1[[#This Row],[ca. Anzahl
Titel pro Jahr]]*18.5)</f>
        <v>18.5</v>
      </c>
      <c r="I148" s="41">
        <f t="shared" si="1"/>
        <v>0</v>
      </c>
      <c r="J148" s="17"/>
      <c r="K148" s="17"/>
    </row>
    <row r="149" spans="1:11" ht="12.95" customHeight="1">
      <c r="A149" s="76"/>
      <c r="B149" s="62" t="s">
        <v>106</v>
      </c>
      <c r="C149" s="37"/>
      <c r="D149" s="37" t="s">
        <v>107</v>
      </c>
      <c r="E149" s="38">
        <v>4946</v>
      </c>
      <c r="F149" s="39" t="s">
        <v>57</v>
      </c>
      <c r="G149" s="42">
        <v>1</v>
      </c>
      <c r="H149" s="53">
        <f>(Tabelle1[[#This Row],[ca. Anzahl
Titel pro Jahr]]*15.9)</f>
        <v>15.9</v>
      </c>
      <c r="I149" s="41">
        <f t="shared" ref="I149:I218" si="2">A149*H149</f>
        <v>0</v>
      </c>
      <c r="J149" s="17"/>
      <c r="K149" s="17"/>
    </row>
    <row r="150" spans="1:11" ht="12.95" customHeight="1">
      <c r="A150" s="76"/>
      <c r="B150" s="51" t="s">
        <v>537</v>
      </c>
      <c r="C150" s="37"/>
      <c r="D150" s="37" t="s">
        <v>31</v>
      </c>
      <c r="E150" s="38">
        <v>5585</v>
      </c>
      <c r="F150" s="39" t="s">
        <v>538</v>
      </c>
      <c r="G150" s="42">
        <v>1</v>
      </c>
      <c r="H150" s="53">
        <v>18.5</v>
      </c>
      <c r="I150" s="41">
        <f t="shared" si="2"/>
        <v>0</v>
      </c>
      <c r="J150" s="17"/>
      <c r="K150" s="17"/>
    </row>
    <row r="151" spans="1:11" ht="12.95" customHeight="1">
      <c r="A151" s="76"/>
      <c r="B151" s="62" t="s">
        <v>691</v>
      </c>
      <c r="C151" s="37"/>
      <c r="D151" s="37" t="s">
        <v>108</v>
      </c>
      <c r="E151" s="38">
        <v>5814</v>
      </c>
      <c r="F151" s="39" t="s">
        <v>33</v>
      </c>
      <c r="G151" s="42">
        <v>1</v>
      </c>
      <c r="H151" s="53">
        <v>12.9</v>
      </c>
      <c r="I151" s="41">
        <f t="shared" si="2"/>
        <v>0</v>
      </c>
      <c r="J151" s="17"/>
      <c r="K151" s="17"/>
    </row>
    <row r="152" spans="1:11" ht="12.95" customHeight="1">
      <c r="A152" s="76"/>
      <c r="B152" s="51" t="s">
        <v>692</v>
      </c>
      <c r="C152" s="37"/>
      <c r="D152" s="37" t="s">
        <v>108</v>
      </c>
      <c r="E152" s="38">
        <v>5812</v>
      </c>
      <c r="F152" s="39" t="s">
        <v>355</v>
      </c>
      <c r="G152" s="42">
        <v>1</v>
      </c>
      <c r="H152" s="53">
        <v>13.5</v>
      </c>
      <c r="I152" s="41">
        <f t="shared" si="2"/>
        <v>0</v>
      </c>
      <c r="J152" s="17"/>
      <c r="K152" s="17"/>
    </row>
    <row r="153" spans="1:11" s="90" customFormat="1" ht="12.95" customHeight="1">
      <c r="A153" s="76"/>
      <c r="B153" s="83" t="s">
        <v>109</v>
      </c>
      <c r="C153" s="84"/>
      <c r="D153" s="84" t="s">
        <v>108</v>
      </c>
      <c r="E153" s="85">
        <v>2727</v>
      </c>
      <c r="F153" s="86" t="s">
        <v>33</v>
      </c>
      <c r="G153" s="87">
        <v>2</v>
      </c>
      <c r="H153" s="82">
        <v>31.8</v>
      </c>
      <c r="I153" s="88">
        <f t="shared" si="2"/>
        <v>0</v>
      </c>
      <c r="J153" s="89"/>
      <c r="K153" s="89"/>
    </row>
    <row r="154" spans="1:11" ht="12.95" customHeight="1">
      <c r="A154" s="76"/>
      <c r="B154" s="51" t="s">
        <v>741</v>
      </c>
      <c r="C154" s="37"/>
      <c r="D154" s="37" t="s">
        <v>742</v>
      </c>
      <c r="E154" s="38">
        <v>2443</v>
      </c>
      <c r="F154" s="55" t="s">
        <v>51</v>
      </c>
      <c r="G154" s="42">
        <v>1</v>
      </c>
      <c r="H154" s="82">
        <f>(Tabelle1[[#This Row],[ca. Anzahl
Titel pro Jahr]]*11.9)</f>
        <v>11.9</v>
      </c>
      <c r="I154" s="41">
        <f t="shared" si="2"/>
        <v>0</v>
      </c>
      <c r="J154" s="17"/>
      <c r="K154" s="17"/>
    </row>
    <row r="155" spans="1:11" ht="12.95" customHeight="1">
      <c r="A155" s="76"/>
      <c r="B155" s="62" t="s">
        <v>110</v>
      </c>
      <c r="C155" s="37"/>
      <c r="D155" s="37" t="s">
        <v>17</v>
      </c>
      <c r="E155" s="38">
        <v>4172</v>
      </c>
      <c r="F155" s="39" t="s">
        <v>18</v>
      </c>
      <c r="G155" s="42">
        <v>8</v>
      </c>
      <c r="H155" s="53">
        <f>(Tabelle1[[#This Row],[ca. Anzahl
Titel pro Jahr]]*14.5)</f>
        <v>116</v>
      </c>
      <c r="I155" s="41">
        <f t="shared" si="2"/>
        <v>0</v>
      </c>
      <c r="J155" s="17"/>
      <c r="K155" s="17"/>
    </row>
    <row r="156" spans="1:11" ht="12.95" customHeight="1">
      <c r="A156" s="76"/>
      <c r="B156" s="62" t="s">
        <v>1042</v>
      </c>
      <c r="C156" s="37"/>
      <c r="D156" s="54" t="s">
        <v>17</v>
      </c>
      <c r="E156" s="38">
        <v>6019</v>
      </c>
      <c r="F156" s="55" t="s">
        <v>18</v>
      </c>
      <c r="G156" s="42">
        <v>4</v>
      </c>
      <c r="H156" s="53">
        <v>40</v>
      </c>
      <c r="I156" s="41">
        <f>A156*H156</f>
        <v>0</v>
      </c>
      <c r="J156" s="17"/>
      <c r="K156" s="17"/>
    </row>
    <row r="157" spans="1:11" ht="12.95" customHeight="1">
      <c r="A157" s="76"/>
      <c r="B157" s="62" t="s">
        <v>1043</v>
      </c>
      <c r="C157" s="37"/>
      <c r="D157" s="54" t="s">
        <v>17</v>
      </c>
      <c r="E157" s="38">
        <v>6020</v>
      </c>
      <c r="F157" s="55" t="s">
        <v>18</v>
      </c>
      <c r="G157" s="42">
        <v>4</v>
      </c>
      <c r="H157" s="53">
        <v>40</v>
      </c>
      <c r="I157" s="41">
        <f>A157*H157</f>
        <v>0</v>
      </c>
      <c r="J157" s="17"/>
      <c r="K157" s="17"/>
    </row>
    <row r="158" spans="1:11" ht="12.95" customHeight="1">
      <c r="A158" s="76"/>
      <c r="B158" s="62" t="s">
        <v>111</v>
      </c>
      <c r="C158" s="37"/>
      <c r="D158" s="37" t="s">
        <v>17</v>
      </c>
      <c r="E158" s="38">
        <v>4174</v>
      </c>
      <c r="F158" s="39" t="s">
        <v>112</v>
      </c>
      <c r="G158" s="42">
        <v>2</v>
      </c>
      <c r="H158" s="53">
        <f>(Tabelle1[[#This Row],[ca. Anzahl
Titel pro Jahr]]*14.5)</f>
        <v>29</v>
      </c>
      <c r="I158" s="41">
        <f t="shared" si="2"/>
        <v>0</v>
      </c>
      <c r="J158" s="17"/>
      <c r="K158" s="17"/>
    </row>
    <row r="159" spans="1:11" ht="12.95" customHeight="1">
      <c r="A159" s="76"/>
      <c r="B159" s="62" t="s">
        <v>113</v>
      </c>
      <c r="C159" s="37"/>
      <c r="D159" s="37" t="s">
        <v>17</v>
      </c>
      <c r="E159" s="38">
        <v>4173</v>
      </c>
      <c r="F159" s="39" t="s">
        <v>18</v>
      </c>
      <c r="G159" s="42">
        <v>7</v>
      </c>
      <c r="H159" s="53">
        <f>(Tabelle1[[#This Row],[ca. Anzahl
Titel pro Jahr]]*14.5)</f>
        <v>101.5</v>
      </c>
      <c r="I159" s="41">
        <f t="shared" si="2"/>
        <v>0</v>
      </c>
      <c r="J159" s="17"/>
      <c r="K159" s="17"/>
    </row>
    <row r="160" spans="1:11" ht="12.95" customHeight="1">
      <c r="A160" s="76"/>
      <c r="B160" s="51" t="s">
        <v>421</v>
      </c>
      <c r="C160" s="37"/>
      <c r="D160" s="37" t="s">
        <v>17</v>
      </c>
      <c r="E160" s="38">
        <v>5376</v>
      </c>
      <c r="F160" s="39" t="s">
        <v>18</v>
      </c>
      <c r="G160" s="42">
        <v>4</v>
      </c>
      <c r="H160" s="53">
        <f>(Tabelle1[[#This Row],[ca. Anzahl
Titel pro Jahr]]*14.5)</f>
        <v>58</v>
      </c>
      <c r="I160" s="41">
        <f t="shared" si="2"/>
        <v>0</v>
      </c>
      <c r="J160" s="17"/>
      <c r="K160" s="17"/>
    </row>
    <row r="161" spans="1:11" ht="12.95" customHeight="1">
      <c r="A161" s="76"/>
      <c r="B161" s="62" t="s">
        <v>973</v>
      </c>
      <c r="C161" s="37"/>
      <c r="D161" s="54" t="s">
        <v>17</v>
      </c>
      <c r="E161" s="38">
        <v>5911</v>
      </c>
      <c r="F161" s="55" t="s">
        <v>18</v>
      </c>
      <c r="G161" s="42">
        <v>3</v>
      </c>
      <c r="H161" s="53">
        <v>43.5</v>
      </c>
      <c r="I161" s="41">
        <f>A161*H161</f>
        <v>0</v>
      </c>
      <c r="J161" s="17"/>
      <c r="K161" s="17"/>
    </row>
    <row r="162" spans="1:11" ht="12.95" customHeight="1">
      <c r="A162" s="76"/>
      <c r="B162" s="62" t="s">
        <v>974</v>
      </c>
      <c r="C162" s="37"/>
      <c r="D162" s="54" t="s">
        <v>17</v>
      </c>
      <c r="E162" s="38">
        <v>5934</v>
      </c>
      <c r="F162" s="55" t="s">
        <v>18</v>
      </c>
      <c r="G162" s="42">
        <v>1</v>
      </c>
      <c r="H162" s="53">
        <v>14.5</v>
      </c>
      <c r="I162" s="41">
        <f>A162*H162</f>
        <v>0</v>
      </c>
      <c r="J162" s="17"/>
      <c r="K162" s="17"/>
    </row>
    <row r="163" spans="1:11" ht="12.95" customHeight="1">
      <c r="A163" s="76"/>
      <c r="B163" s="62" t="s">
        <v>369</v>
      </c>
      <c r="C163" s="37"/>
      <c r="D163" s="37" t="s">
        <v>370</v>
      </c>
      <c r="E163" s="38">
        <v>5217</v>
      </c>
      <c r="F163" s="39" t="s">
        <v>18</v>
      </c>
      <c r="G163" s="42">
        <v>2</v>
      </c>
      <c r="H163" s="53">
        <f>(Tabelle1[[#This Row],[ca. Anzahl
Titel pro Jahr]]*14.5)</f>
        <v>29</v>
      </c>
      <c r="I163" s="41">
        <f t="shared" si="2"/>
        <v>0</v>
      </c>
      <c r="J163" s="17"/>
      <c r="K163" s="17"/>
    </row>
    <row r="164" spans="1:11" ht="12.95" customHeight="1">
      <c r="A164" s="76"/>
      <c r="B164" s="62" t="s">
        <v>708</v>
      </c>
      <c r="C164" s="37"/>
      <c r="D164" s="37" t="s">
        <v>709</v>
      </c>
      <c r="E164" s="38">
        <v>5836</v>
      </c>
      <c r="F164" s="39" t="s">
        <v>21</v>
      </c>
      <c r="G164" s="42">
        <v>2</v>
      </c>
      <c r="H164" s="53">
        <f>(Tabelle1[[#This Row],[ca. Anzahl
Titel pro Jahr]]*14.5)</f>
        <v>29</v>
      </c>
      <c r="I164" s="41">
        <f t="shared" si="2"/>
        <v>0</v>
      </c>
      <c r="J164" s="17"/>
      <c r="K164" s="17"/>
    </row>
    <row r="165" spans="1:11" ht="12.95" customHeight="1">
      <c r="A165" s="76"/>
      <c r="B165" s="51" t="s">
        <v>114</v>
      </c>
      <c r="C165" s="37"/>
      <c r="D165" s="37" t="s">
        <v>17</v>
      </c>
      <c r="E165" s="38">
        <v>4324</v>
      </c>
      <c r="F165" s="39" t="s">
        <v>18</v>
      </c>
      <c r="G165" s="42">
        <v>1</v>
      </c>
      <c r="H165" s="53">
        <f>(Tabelle1[[#This Row],[ca. Anzahl
Titel pro Jahr]]*14.5)</f>
        <v>14.5</v>
      </c>
      <c r="I165" s="41">
        <f t="shared" si="2"/>
        <v>0</v>
      </c>
      <c r="J165" s="17"/>
      <c r="K165" s="17"/>
    </row>
    <row r="166" spans="1:11" ht="12.95" customHeight="1">
      <c r="A166" s="76"/>
      <c r="B166" s="62" t="s">
        <v>628</v>
      </c>
      <c r="C166" s="37"/>
      <c r="D166" s="37" t="s">
        <v>67</v>
      </c>
      <c r="E166" s="38">
        <v>2572</v>
      </c>
      <c r="F166" s="39" t="s">
        <v>18</v>
      </c>
      <c r="G166" s="42">
        <v>2</v>
      </c>
      <c r="H166" s="53">
        <f>(Tabelle1[[#This Row],[ca. Anzahl
Titel pro Jahr]]*13.5)</f>
        <v>27</v>
      </c>
      <c r="I166" s="41">
        <f t="shared" si="2"/>
        <v>0</v>
      </c>
      <c r="J166" s="17"/>
      <c r="K166" s="17"/>
    </row>
    <row r="167" spans="1:11" ht="12.95" customHeight="1">
      <c r="A167" s="76"/>
      <c r="B167" s="51" t="s">
        <v>630</v>
      </c>
      <c r="C167" s="37"/>
      <c r="D167" s="37" t="s">
        <v>67</v>
      </c>
      <c r="E167" s="38">
        <v>2573</v>
      </c>
      <c r="F167" s="39" t="s">
        <v>18</v>
      </c>
      <c r="G167" s="42">
        <v>2</v>
      </c>
      <c r="H167" s="53">
        <f>(Tabelle1[[#This Row],[ca. Anzahl
Titel pro Jahr]]*13.5)</f>
        <v>27</v>
      </c>
      <c r="I167" s="41">
        <f t="shared" si="2"/>
        <v>0</v>
      </c>
      <c r="J167" s="17"/>
      <c r="K167" s="17"/>
    </row>
    <row r="168" spans="1:11" ht="12.95" customHeight="1">
      <c r="A168" s="76"/>
      <c r="B168" s="62" t="s">
        <v>743</v>
      </c>
      <c r="C168" s="37"/>
      <c r="D168" s="37" t="s">
        <v>67</v>
      </c>
      <c r="E168" s="38">
        <v>5917</v>
      </c>
      <c r="F168" s="55" t="s">
        <v>18</v>
      </c>
      <c r="G168" s="42">
        <v>1</v>
      </c>
      <c r="H168" s="53">
        <v>17.5</v>
      </c>
      <c r="I168" s="41">
        <f t="shared" si="2"/>
        <v>0</v>
      </c>
      <c r="J168" s="17"/>
      <c r="K168" s="17"/>
    </row>
    <row r="169" spans="1:11" ht="12.95" customHeight="1">
      <c r="A169" s="76"/>
      <c r="B169" s="62" t="s">
        <v>629</v>
      </c>
      <c r="C169" s="37"/>
      <c r="D169" s="37" t="s">
        <v>67</v>
      </c>
      <c r="E169" s="38">
        <v>4156</v>
      </c>
      <c r="F169" s="55" t="s">
        <v>18</v>
      </c>
      <c r="G169" s="42">
        <v>2</v>
      </c>
      <c r="H169" s="53">
        <f>(Tabelle1[[#This Row],[ca. Anzahl
Titel pro Jahr]]*14.5)</f>
        <v>29</v>
      </c>
      <c r="I169" s="41">
        <f t="shared" si="2"/>
        <v>0</v>
      </c>
      <c r="J169" s="17"/>
      <c r="K169" s="17"/>
    </row>
    <row r="170" spans="1:11" ht="12.95" customHeight="1">
      <c r="A170" s="76"/>
      <c r="B170" s="62" t="s">
        <v>115</v>
      </c>
      <c r="C170" s="37"/>
      <c r="D170" s="37" t="s">
        <v>15</v>
      </c>
      <c r="E170" s="38">
        <v>1083</v>
      </c>
      <c r="F170" s="39" t="s">
        <v>18</v>
      </c>
      <c r="G170" s="42">
        <v>4</v>
      </c>
      <c r="H170" s="53">
        <f>(Tabelle1[[#This Row],[ca. Anzahl
Titel pro Jahr]]*13.3)</f>
        <v>53.2</v>
      </c>
      <c r="I170" s="41">
        <f t="shared" si="2"/>
        <v>0</v>
      </c>
      <c r="J170" s="17"/>
      <c r="K170" s="17"/>
    </row>
    <row r="171" spans="1:11" ht="12.95" customHeight="1">
      <c r="A171" s="76"/>
      <c r="B171" s="51" t="s">
        <v>116</v>
      </c>
      <c r="C171" s="37"/>
      <c r="D171" s="37" t="s">
        <v>15</v>
      </c>
      <c r="E171" s="38">
        <v>1111</v>
      </c>
      <c r="F171" s="39" t="s">
        <v>18</v>
      </c>
      <c r="G171" s="42">
        <v>4</v>
      </c>
      <c r="H171" s="53">
        <f>(Tabelle1[[#This Row],[ca. Anzahl
Titel pro Jahr]]*13.3)</f>
        <v>53.2</v>
      </c>
      <c r="I171" s="41">
        <f t="shared" si="2"/>
        <v>0</v>
      </c>
      <c r="J171" s="17"/>
      <c r="K171" s="17"/>
    </row>
    <row r="172" spans="1:11" ht="12.95" customHeight="1">
      <c r="A172" s="76"/>
      <c r="B172" s="62" t="s">
        <v>117</v>
      </c>
      <c r="C172" s="37"/>
      <c r="D172" s="37" t="s">
        <v>118</v>
      </c>
      <c r="E172" s="38">
        <v>2560</v>
      </c>
      <c r="F172" s="39" t="s">
        <v>18</v>
      </c>
      <c r="G172" s="42">
        <v>2</v>
      </c>
      <c r="H172" s="53">
        <v>15.8</v>
      </c>
      <c r="I172" s="41">
        <f t="shared" si="2"/>
        <v>0</v>
      </c>
      <c r="J172" s="17"/>
      <c r="K172" s="17"/>
    </row>
    <row r="173" spans="1:11" ht="12.95" customHeight="1">
      <c r="A173" s="76"/>
      <c r="B173" s="51" t="s">
        <v>119</v>
      </c>
      <c r="C173" s="37"/>
      <c r="D173" s="37" t="s">
        <v>15</v>
      </c>
      <c r="E173" s="38">
        <v>5107</v>
      </c>
      <c r="F173" s="39" t="s">
        <v>18</v>
      </c>
      <c r="G173" s="42">
        <v>3</v>
      </c>
      <c r="H173" s="53">
        <f>(Tabelle1[[#This Row],[ca. Anzahl
Titel pro Jahr]]*13.3)</f>
        <v>39.900000000000006</v>
      </c>
      <c r="I173" s="41">
        <f t="shared" si="2"/>
        <v>0</v>
      </c>
      <c r="J173" s="17"/>
      <c r="K173" s="17"/>
    </row>
    <row r="174" spans="1:11" ht="12.95" customHeight="1">
      <c r="A174" s="76"/>
      <c r="B174" s="62" t="s">
        <v>120</v>
      </c>
      <c r="C174" s="37"/>
      <c r="D174" s="37" t="s">
        <v>19</v>
      </c>
      <c r="E174" s="38">
        <v>4602</v>
      </c>
      <c r="F174" s="39" t="s">
        <v>18</v>
      </c>
      <c r="G174" s="42">
        <v>2</v>
      </c>
      <c r="H174" s="53">
        <v>29</v>
      </c>
      <c r="I174" s="41">
        <f t="shared" si="2"/>
        <v>0</v>
      </c>
      <c r="J174" s="17"/>
      <c r="K174" s="17"/>
    </row>
    <row r="175" spans="1:11" ht="12.95" customHeight="1">
      <c r="A175" s="76"/>
      <c r="B175" s="51" t="s">
        <v>121</v>
      </c>
      <c r="C175" s="37"/>
      <c r="D175" s="37" t="s">
        <v>122</v>
      </c>
      <c r="E175" s="38">
        <v>2538</v>
      </c>
      <c r="F175" s="39" t="s">
        <v>18</v>
      </c>
      <c r="G175" s="42">
        <v>3</v>
      </c>
      <c r="H175" s="53">
        <f>(Tabelle1[[#This Row],[ca. Anzahl
Titel pro Jahr]]*16.3)</f>
        <v>48.900000000000006</v>
      </c>
      <c r="I175" s="41">
        <f t="shared" si="2"/>
        <v>0</v>
      </c>
      <c r="J175" s="17"/>
      <c r="K175" s="17"/>
    </row>
    <row r="176" spans="1:11" ht="12.95" customHeight="1">
      <c r="A176" s="76"/>
      <c r="B176" s="62" t="s">
        <v>123</v>
      </c>
      <c r="C176" s="37"/>
      <c r="D176" s="37" t="s">
        <v>122</v>
      </c>
      <c r="E176" s="38">
        <v>2627</v>
      </c>
      <c r="F176" s="39" t="s">
        <v>124</v>
      </c>
      <c r="G176" s="42">
        <v>5</v>
      </c>
      <c r="H176" s="53">
        <f>(Tabelle1[[#This Row],[ca. Anzahl
Titel pro Jahr]]*16.3)</f>
        <v>81.5</v>
      </c>
      <c r="I176" s="41">
        <f t="shared" si="2"/>
        <v>0</v>
      </c>
      <c r="J176" s="17"/>
      <c r="K176" s="17"/>
    </row>
    <row r="177" spans="1:11" ht="12.95" customHeight="1">
      <c r="A177" s="76"/>
      <c r="B177" s="62" t="s">
        <v>972</v>
      </c>
      <c r="C177" s="37"/>
      <c r="D177" s="54" t="s">
        <v>15</v>
      </c>
      <c r="E177" s="38">
        <v>5947</v>
      </c>
      <c r="F177" s="55" t="s">
        <v>18</v>
      </c>
      <c r="G177" s="42">
        <v>2</v>
      </c>
      <c r="H177" s="53">
        <v>25.8</v>
      </c>
      <c r="I177" s="41">
        <f>A177*H177</f>
        <v>0</v>
      </c>
      <c r="J177" s="17"/>
      <c r="K177" s="17"/>
    </row>
    <row r="178" spans="1:11" ht="12.95" customHeight="1">
      <c r="A178" s="76"/>
      <c r="B178" s="62" t="s">
        <v>125</v>
      </c>
      <c r="C178" s="37"/>
      <c r="D178" s="37" t="s">
        <v>67</v>
      </c>
      <c r="E178" s="38">
        <v>4366</v>
      </c>
      <c r="F178" s="39" t="s">
        <v>51</v>
      </c>
      <c r="G178" s="42">
        <v>1</v>
      </c>
      <c r="H178" s="53">
        <v>22.5</v>
      </c>
      <c r="I178" s="41">
        <f t="shared" si="2"/>
        <v>0</v>
      </c>
      <c r="J178" s="17"/>
      <c r="K178" s="17"/>
    </row>
    <row r="179" spans="1:11" ht="12.95" customHeight="1">
      <c r="A179" s="76"/>
      <c r="B179" s="62" t="s">
        <v>744</v>
      </c>
      <c r="C179" s="37"/>
      <c r="D179" s="37" t="s">
        <v>67</v>
      </c>
      <c r="E179" s="38">
        <v>2742</v>
      </c>
      <c r="F179" s="55" t="s">
        <v>865</v>
      </c>
      <c r="G179" s="42">
        <v>1</v>
      </c>
      <c r="H179" s="53">
        <v>14.5</v>
      </c>
      <c r="I179" s="41">
        <f t="shared" si="2"/>
        <v>0</v>
      </c>
      <c r="J179" s="17"/>
      <c r="K179" s="17"/>
    </row>
    <row r="180" spans="1:11" ht="12.95" customHeight="1">
      <c r="A180" s="76"/>
      <c r="B180" s="51" t="s">
        <v>335</v>
      </c>
      <c r="C180" s="37"/>
      <c r="D180" s="37" t="s">
        <v>17</v>
      </c>
      <c r="E180" s="38">
        <v>5157</v>
      </c>
      <c r="F180" s="39" t="s">
        <v>124</v>
      </c>
      <c r="G180" s="42">
        <v>7</v>
      </c>
      <c r="H180" s="53">
        <f>(Tabelle1[[#This Row],[ca. Anzahl
Titel pro Jahr]]*20.3)</f>
        <v>142.1</v>
      </c>
      <c r="I180" s="41">
        <f t="shared" si="2"/>
        <v>0</v>
      </c>
      <c r="J180" s="17"/>
      <c r="K180" s="17"/>
    </row>
    <row r="181" spans="1:11" ht="12.95" customHeight="1">
      <c r="A181" s="76"/>
      <c r="B181" s="62" t="s">
        <v>422</v>
      </c>
      <c r="C181" s="37"/>
      <c r="D181" s="37" t="s">
        <v>423</v>
      </c>
      <c r="E181" s="38">
        <v>5300</v>
      </c>
      <c r="F181" s="39" t="s">
        <v>424</v>
      </c>
      <c r="G181" s="42">
        <v>1</v>
      </c>
      <c r="H181" s="53">
        <v>17.5</v>
      </c>
      <c r="I181" s="41">
        <f t="shared" si="2"/>
        <v>0</v>
      </c>
      <c r="J181" s="17"/>
      <c r="K181" s="17"/>
    </row>
    <row r="182" spans="1:11" ht="12.95" customHeight="1">
      <c r="A182" s="76"/>
      <c r="B182" s="51" t="s">
        <v>425</v>
      </c>
      <c r="C182" s="37"/>
      <c r="D182" s="37" t="s">
        <v>426</v>
      </c>
      <c r="E182" s="38">
        <v>5294</v>
      </c>
      <c r="F182" s="39" t="s">
        <v>219</v>
      </c>
      <c r="G182" s="42">
        <v>1</v>
      </c>
      <c r="H182" s="53">
        <v>14.5</v>
      </c>
      <c r="I182" s="41">
        <f t="shared" si="2"/>
        <v>0</v>
      </c>
      <c r="J182" s="17"/>
      <c r="K182" s="17"/>
    </row>
    <row r="183" spans="1:11" ht="12.95" customHeight="1">
      <c r="A183" s="76"/>
      <c r="B183" s="62" t="s">
        <v>539</v>
      </c>
      <c r="C183" s="37"/>
      <c r="D183" s="37" t="s">
        <v>65</v>
      </c>
      <c r="E183" s="38">
        <v>5550</v>
      </c>
      <c r="F183" s="39" t="s">
        <v>472</v>
      </c>
      <c r="G183" s="42">
        <v>1</v>
      </c>
      <c r="H183" s="53">
        <v>21.5</v>
      </c>
      <c r="I183" s="41">
        <f t="shared" si="2"/>
        <v>0</v>
      </c>
      <c r="J183" s="17"/>
      <c r="K183" s="17"/>
    </row>
    <row r="184" spans="1:11" ht="12.95" customHeight="1">
      <c r="A184" s="76"/>
      <c r="B184" s="51" t="s">
        <v>745</v>
      </c>
      <c r="C184" s="37"/>
      <c r="D184" s="37" t="s">
        <v>61</v>
      </c>
      <c r="E184" s="38">
        <v>5848</v>
      </c>
      <c r="F184" s="55" t="s">
        <v>325</v>
      </c>
      <c r="G184" s="42">
        <v>1</v>
      </c>
      <c r="H184" s="53">
        <v>17.5</v>
      </c>
      <c r="I184" s="41">
        <f t="shared" si="2"/>
        <v>0</v>
      </c>
      <c r="J184" s="17"/>
      <c r="K184" s="17"/>
    </row>
    <row r="185" spans="1:11" ht="12.95" customHeight="1">
      <c r="A185" s="76"/>
      <c r="B185" s="62" t="s">
        <v>1033</v>
      </c>
      <c r="C185" s="37"/>
      <c r="D185" s="54" t="s">
        <v>15</v>
      </c>
      <c r="E185" s="38">
        <v>6004</v>
      </c>
      <c r="F185" s="55" t="s">
        <v>1034</v>
      </c>
      <c r="G185" s="42">
        <v>2</v>
      </c>
      <c r="H185" s="53">
        <v>33.799999999999997</v>
      </c>
      <c r="I185" s="41">
        <f>A185*H185</f>
        <v>0</v>
      </c>
      <c r="J185" s="17"/>
      <c r="K185" s="17"/>
    </row>
    <row r="186" spans="1:11" ht="12.95" customHeight="1">
      <c r="A186" s="76"/>
      <c r="B186" s="62" t="s">
        <v>746</v>
      </c>
      <c r="C186" s="37"/>
      <c r="D186" s="37" t="s">
        <v>38</v>
      </c>
      <c r="E186" s="38">
        <v>4600</v>
      </c>
      <c r="F186" s="55" t="s">
        <v>866</v>
      </c>
      <c r="G186" s="42">
        <v>1</v>
      </c>
      <c r="H186" s="53">
        <v>13.5</v>
      </c>
      <c r="I186" s="41">
        <f t="shared" si="2"/>
        <v>0</v>
      </c>
      <c r="J186" s="17"/>
      <c r="K186" s="17"/>
    </row>
    <row r="187" spans="1:11" ht="12.95" customHeight="1">
      <c r="A187" s="76"/>
      <c r="B187" s="51" t="s">
        <v>540</v>
      </c>
      <c r="C187" s="37"/>
      <c r="D187" s="37" t="s">
        <v>541</v>
      </c>
      <c r="E187" s="38">
        <v>5584</v>
      </c>
      <c r="F187" s="39" t="s">
        <v>542</v>
      </c>
      <c r="G187" s="42">
        <v>1</v>
      </c>
      <c r="H187" s="53">
        <v>17.5</v>
      </c>
      <c r="I187" s="41">
        <f t="shared" si="2"/>
        <v>0</v>
      </c>
      <c r="J187" s="17"/>
      <c r="K187" s="17"/>
    </row>
    <row r="188" spans="1:11" ht="12.95" customHeight="1">
      <c r="A188" s="76"/>
      <c r="B188" s="62" t="s">
        <v>127</v>
      </c>
      <c r="C188" s="37"/>
      <c r="D188" s="37" t="s">
        <v>19</v>
      </c>
      <c r="E188" s="38">
        <v>2539</v>
      </c>
      <c r="F188" s="39" t="s">
        <v>51</v>
      </c>
      <c r="G188" s="42">
        <v>1</v>
      </c>
      <c r="H188" s="53">
        <v>21.5</v>
      </c>
      <c r="I188" s="41">
        <f t="shared" si="2"/>
        <v>0</v>
      </c>
      <c r="J188" s="17"/>
      <c r="K188" s="17"/>
    </row>
    <row r="189" spans="1:11" ht="12.95" customHeight="1">
      <c r="A189" s="76"/>
      <c r="B189" s="62" t="s">
        <v>1037</v>
      </c>
      <c r="C189" s="37"/>
      <c r="D189" s="54" t="s">
        <v>769</v>
      </c>
      <c r="E189" s="38">
        <v>6006</v>
      </c>
      <c r="F189" s="55" t="s">
        <v>872</v>
      </c>
      <c r="G189" s="42">
        <v>3</v>
      </c>
      <c r="H189" s="53">
        <v>61.5</v>
      </c>
      <c r="I189" s="41">
        <f>A189*H189</f>
        <v>0</v>
      </c>
      <c r="J189" s="17"/>
      <c r="K189" s="17"/>
    </row>
    <row r="190" spans="1:11" ht="12.95" customHeight="1">
      <c r="A190" s="76"/>
      <c r="B190" s="51" t="s">
        <v>128</v>
      </c>
      <c r="C190" s="37"/>
      <c r="D190" s="37" t="s">
        <v>31</v>
      </c>
      <c r="E190" s="38">
        <v>4216</v>
      </c>
      <c r="F190" s="39" t="s">
        <v>51</v>
      </c>
      <c r="G190" s="42">
        <v>2</v>
      </c>
      <c r="H190" s="53">
        <f>(Tabelle1[[#This Row],[ca. Anzahl
Titel pro Jahr]]*17.7)</f>
        <v>35.4</v>
      </c>
      <c r="I190" s="41">
        <f t="shared" si="2"/>
        <v>0</v>
      </c>
      <c r="J190" s="17"/>
      <c r="K190" s="17"/>
    </row>
    <row r="191" spans="1:11" ht="12.95" customHeight="1">
      <c r="A191" s="76"/>
      <c r="B191" s="62" t="s">
        <v>129</v>
      </c>
      <c r="C191" s="37"/>
      <c r="D191" s="37" t="s">
        <v>31</v>
      </c>
      <c r="E191" s="38">
        <v>591</v>
      </c>
      <c r="F191" s="39" t="s">
        <v>33</v>
      </c>
      <c r="G191" s="42">
        <v>2</v>
      </c>
      <c r="H191" s="53">
        <v>26.6</v>
      </c>
      <c r="I191" s="41">
        <f t="shared" si="2"/>
        <v>0</v>
      </c>
      <c r="J191" s="17"/>
      <c r="K191" s="17"/>
    </row>
    <row r="192" spans="1:11" ht="12.95" customHeight="1">
      <c r="A192" s="76"/>
      <c r="B192" s="51" t="s">
        <v>130</v>
      </c>
      <c r="C192" s="37"/>
      <c r="D192" s="37" t="s">
        <v>31</v>
      </c>
      <c r="E192" s="38">
        <v>4137</v>
      </c>
      <c r="F192" s="39" t="s">
        <v>51</v>
      </c>
      <c r="G192" s="42">
        <v>1</v>
      </c>
      <c r="H192" s="53">
        <v>17.5</v>
      </c>
      <c r="I192" s="41">
        <f t="shared" si="2"/>
        <v>0</v>
      </c>
      <c r="J192" s="17"/>
      <c r="K192" s="17"/>
    </row>
    <row r="193" spans="1:11" ht="12.95" customHeight="1">
      <c r="A193" s="76"/>
      <c r="B193" s="62" t="s">
        <v>979</v>
      </c>
      <c r="C193" s="37"/>
      <c r="D193" s="54" t="s">
        <v>15</v>
      </c>
      <c r="E193" s="38">
        <v>5855</v>
      </c>
      <c r="F193" s="55" t="s">
        <v>57</v>
      </c>
      <c r="G193" s="42">
        <v>1</v>
      </c>
      <c r="H193" s="53">
        <v>14.5</v>
      </c>
      <c r="I193" s="41">
        <f>A193*H193</f>
        <v>0</v>
      </c>
      <c r="J193" s="17"/>
      <c r="K193" s="17"/>
    </row>
    <row r="194" spans="1:11" ht="12.95" customHeight="1">
      <c r="A194" s="76"/>
      <c r="B194" s="62" t="s">
        <v>525</v>
      </c>
      <c r="C194" s="37"/>
      <c r="D194" s="37" t="s">
        <v>61</v>
      </c>
      <c r="E194" s="38">
        <v>5463</v>
      </c>
      <c r="F194" s="39" t="s">
        <v>93</v>
      </c>
      <c r="G194" s="42">
        <v>1</v>
      </c>
      <c r="H194" s="53">
        <v>17.5</v>
      </c>
      <c r="I194" s="41">
        <f t="shared" si="2"/>
        <v>0</v>
      </c>
      <c r="J194" s="17"/>
      <c r="K194" s="17"/>
    </row>
    <row r="195" spans="1:11" ht="12.95" customHeight="1">
      <c r="A195" s="76"/>
      <c r="B195" s="51" t="s">
        <v>749</v>
      </c>
      <c r="C195" s="37"/>
      <c r="D195" s="37" t="s">
        <v>60</v>
      </c>
      <c r="E195" s="38">
        <v>5845</v>
      </c>
      <c r="F195" s="55" t="s">
        <v>873</v>
      </c>
      <c r="G195" s="42">
        <v>1</v>
      </c>
      <c r="H195" s="53">
        <v>20.5</v>
      </c>
      <c r="I195" s="41">
        <f t="shared" si="2"/>
        <v>0</v>
      </c>
      <c r="J195" s="17"/>
      <c r="K195" s="17"/>
    </row>
    <row r="196" spans="1:11" ht="12.95" customHeight="1">
      <c r="A196" s="76"/>
      <c r="B196" s="62" t="s">
        <v>631</v>
      </c>
      <c r="C196" s="37"/>
      <c r="D196" s="37" t="s">
        <v>52</v>
      </c>
      <c r="E196" s="38">
        <v>5220</v>
      </c>
      <c r="F196" s="39" t="s">
        <v>33</v>
      </c>
      <c r="G196" s="42">
        <v>2</v>
      </c>
      <c r="H196" s="53">
        <f>(Tabelle1[[#This Row],[ca. Anzahl
Titel pro Jahr]]*17.7)</f>
        <v>35.4</v>
      </c>
      <c r="I196" s="41">
        <f t="shared" si="2"/>
        <v>0</v>
      </c>
      <c r="J196" s="17"/>
      <c r="K196" s="17"/>
    </row>
    <row r="197" spans="1:11" ht="12.95" customHeight="1">
      <c r="A197" s="76"/>
      <c r="B197" s="51" t="s">
        <v>750</v>
      </c>
      <c r="C197" s="37"/>
      <c r="D197" s="37" t="s">
        <v>52</v>
      </c>
      <c r="E197" s="38">
        <v>5074</v>
      </c>
      <c r="F197" s="55" t="s">
        <v>872</v>
      </c>
      <c r="G197" s="42">
        <v>1</v>
      </c>
      <c r="H197" s="53">
        <v>20.5</v>
      </c>
      <c r="I197" s="41">
        <f t="shared" si="2"/>
        <v>0</v>
      </c>
      <c r="J197" s="17"/>
      <c r="K197" s="17"/>
    </row>
    <row r="198" spans="1:11" ht="12.95" customHeight="1">
      <c r="A198" s="76"/>
      <c r="B198" s="62" t="s">
        <v>751</v>
      </c>
      <c r="C198" s="37"/>
      <c r="D198" s="37" t="s">
        <v>88</v>
      </c>
      <c r="E198" s="38">
        <v>5896</v>
      </c>
      <c r="F198" s="55" t="s">
        <v>602</v>
      </c>
      <c r="G198" s="42">
        <v>2</v>
      </c>
      <c r="H198" s="53">
        <v>41</v>
      </c>
      <c r="I198" s="41">
        <f t="shared" si="2"/>
        <v>0</v>
      </c>
      <c r="J198" s="17"/>
      <c r="K198" s="17"/>
    </row>
    <row r="199" spans="1:11" ht="12.95" customHeight="1">
      <c r="A199" s="76"/>
      <c r="B199" s="62" t="s">
        <v>1008</v>
      </c>
      <c r="C199" s="54"/>
      <c r="D199" s="54" t="s">
        <v>1009</v>
      </c>
      <c r="E199" s="38">
        <v>5979</v>
      </c>
      <c r="F199" s="55" t="s">
        <v>1010</v>
      </c>
      <c r="G199" s="42">
        <v>1</v>
      </c>
      <c r="H199" s="53">
        <v>20.5</v>
      </c>
      <c r="I199" s="41">
        <f>A199*H199</f>
        <v>0</v>
      </c>
      <c r="J199" s="17"/>
      <c r="K199" s="17"/>
    </row>
    <row r="200" spans="1:11" ht="12.95" customHeight="1">
      <c r="A200" s="76"/>
      <c r="B200" s="51" t="s">
        <v>327</v>
      </c>
      <c r="C200" s="37"/>
      <c r="D200" s="37" t="s">
        <v>17</v>
      </c>
      <c r="E200" s="38">
        <v>5136</v>
      </c>
      <c r="F200" s="39" t="s">
        <v>126</v>
      </c>
      <c r="G200" s="42">
        <v>3</v>
      </c>
      <c r="H200" s="53">
        <f>(Tabelle1[[#This Row],[ca. Anzahl
Titel pro Jahr]]*13.3)</f>
        <v>39.900000000000006</v>
      </c>
      <c r="I200" s="41">
        <f t="shared" si="2"/>
        <v>0</v>
      </c>
      <c r="J200" s="17"/>
      <c r="K200" s="17"/>
    </row>
    <row r="201" spans="1:11" ht="12.95" customHeight="1">
      <c r="A201" s="76"/>
      <c r="B201" s="62" t="s">
        <v>1055</v>
      </c>
      <c r="C201" s="37"/>
      <c r="D201" s="54" t="s">
        <v>31</v>
      </c>
      <c r="E201" s="38">
        <v>6029</v>
      </c>
      <c r="F201" s="55" t="s">
        <v>137</v>
      </c>
      <c r="G201" s="42">
        <v>1</v>
      </c>
      <c r="H201" s="53">
        <v>14.5</v>
      </c>
      <c r="I201" s="41">
        <f>A201*H201</f>
        <v>0</v>
      </c>
      <c r="J201" s="17"/>
      <c r="K201" s="17"/>
    </row>
    <row r="202" spans="1:11" ht="12.95" customHeight="1">
      <c r="A202" s="76"/>
      <c r="B202" s="62" t="s">
        <v>495</v>
      </c>
      <c r="C202" s="37"/>
      <c r="D202" s="37" t="s">
        <v>17</v>
      </c>
      <c r="E202" s="38">
        <v>5468</v>
      </c>
      <c r="F202" s="39" t="s">
        <v>33</v>
      </c>
      <c r="G202" s="42">
        <v>1</v>
      </c>
      <c r="H202" s="53">
        <f>(Tabelle1[[#This Row],[ca. Anzahl
Titel pro Jahr]]*18.7)</f>
        <v>18.7</v>
      </c>
      <c r="I202" s="41">
        <f t="shared" si="2"/>
        <v>0</v>
      </c>
      <c r="J202" s="17"/>
      <c r="K202" s="17"/>
    </row>
    <row r="203" spans="1:11" ht="12.95" customHeight="1">
      <c r="A203" s="76"/>
      <c r="B203" s="51" t="s">
        <v>132</v>
      </c>
      <c r="C203" s="37"/>
      <c r="D203" s="37" t="s">
        <v>48</v>
      </c>
      <c r="E203" s="38">
        <v>4604</v>
      </c>
      <c r="F203" s="39" t="s">
        <v>133</v>
      </c>
      <c r="G203" s="42">
        <v>3</v>
      </c>
      <c r="H203" s="53">
        <f>(Tabelle1[[#This Row],[ca. Anzahl
Titel pro Jahr]]*13.3)</f>
        <v>39.900000000000006</v>
      </c>
      <c r="I203" s="41">
        <f t="shared" si="2"/>
        <v>0</v>
      </c>
      <c r="J203" s="17"/>
      <c r="K203" s="17"/>
    </row>
    <row r="204" spans="1:11" ht="12.95" customHeight="1">
      <c r="A204" s="76"/>
      <c r="B204" s="62" t="s">
        <v>752</v>
      </c>
      <c r="C204" s="37"/>
      <c r="D204" s="37" t="s">
        <v>38</v>
      </c>
      <c r="E204" s="38">
        <v>5654</v>
      </c>
      <c r="F204" s="55" t="s">
        <v>871</v>
      </c>
      <c r="G204" s="42">
        <v>1</v>
      </c>
      <c r="H204" s="53">
        <v>22.9</v>
      </c>
      <c r="I204" s="41">
        <f t="shared" si="2"/>
        <v>0</v>
      </c>
      <c r="J204" s="17"/>
      <c r="K204" s="17"/>
    </row>
    <row r="205" spans="1:11" ht="12.95" customHeight="1">
      <c r="A205" s="76"/>
      <c r="B205" s="51" t="s">
        <v>753</v>
      </c>
      <c r="C205" s="37"/>
      <c r="D205" s="37" t="s">
        <v>754</v>
      </c>
      <c r="E205" s="38">
        <v>4508</v>
      </c>
      <c r="F205" s="55" t="s">
        <v>870</v>
      </c>
      <c r="G205" s="42">
        <v>1</v>
      </c>
      <c r="H205" s="53">
        <v>22.9</v>
      </c>
      <c r="I205" s="41">
        <f t="shared" si="2"/>
        <v>0</v>
      </c>
      <c r="J205" s="17"/>
      <c r="K205" s="17"/>
    </row>
    <row r="206" spans="1:11" ht="12.95" customHeight="1">
      <c r="A206" s="76"/>
      <c r="B206" s="62" t="s">
        <v>755</v>
      </c>
      <c r="C206" s="37"/>
      <c r="D206" s="37" t="s">
        <v>756</v>
      </c>
      <c r="E206" s="38">
        <v>5647</v>
      </c>
      <c r="F206" s="55" t="s">
        <v>137</v>
      </c>
      <c r="G206" s="42">
        <v>2</v>
      </c>
      <c r="H206" s="53">
        <v>29</v>
      </c>
      <c r="I206" s="41">
        <f t="shared" si="2"/>
        <v>0</v>
      </c>
      <c r="J206" s="17"/>
      <c r="K206" s="17"/>
    </row>
    <row r="207" spans="1:11" ht="12.95" customHeight="1">
      <c r="A207" s="76"/>
      <c r="B207" s="51" t="s">
        <v>526</v>
      </c>
      <c r="C207" s="37"/>
      <c r="D207" s="37" t="s">
        <v>61</v>
      </c>
      <c r="E207" s="38">
        <v>5462</v>
      </c>
      <c r="F207" s="39" t="s">
        <v>57</v>
      </c>
      <c r="G207" s="42">
        <v>1</v>
      </c>
      <c r="H207" s="53">
        <f>(Tabelle1[[#This Row],[ca. Anzahl
Titel pro Jahr]]*17.7)</f>
        <v>17.7</v>
      </c>
      <c r="I207" s="41">
        <f t="shared" si="2"/>
        <v>0</v>
      </c>
      <c r="J207" s="17"/>
      <c r="K207" s="17"/>
    </row>
    <row r="208" spans="1:11" ht="12.95" customHeight="1">
      <c r="A208" s="76"/>
      <c r="B208" s="62" t="s">
        <v>135</v>
      </c>
      <c r="C208" s="37"/>
      <c r="D208" s="37" t="s">
        <v>22</v>
      </c>
      <c r="E208" s="38">
        <v>2628</v>
      </c>
      <c r="F208" s="39" t="s">
        <v>93</v>
      </c>
      <c r="G208" s="42">
        <v>1</v>
      </c>
      <c r="H208" s="53">
        <f>(Tabelle1[[#This Row],[ca. Anzahl
Titel pro Jahr]]*21.9)</f>
        <v>21.9</v>
      </c>
      <c r="I208" s="41">
        <f t="shared" si="2"/>
        <v>0</v>
      </c>
      <c r="J208" s="17"/>
      <c r="K208" s="17"/>
    </row>
    <row r="209" spans="1:11" ht="12.95" customHeight="1">
      <c r="A209" s="76"/>
      <c r="B209" s="51" t="s">
        <v>757</v>
      </c>
      <c r="C209" s="37"/>
      <c r="D209" s="37" t="s">
        <v>32</v>
      </c>
      <c r="E209" s="38">
        <v>5902</v>
      </c>
      <c r="F209" s="55" t="s">
        <v>869</v>
      </c>
      <c r="G209" s="42">
        <v>1</v>
      </c>
      <c r="H209" s="53">
        <v>17.5</v>
      </c>
      <c r="I209" s="41">
        <f t="shared" si="2"/>
        <v>0</v>
      </c>
      <c r="J209" s="17"/>
      <c r="K209" s="17"/>
    </row>
    <row r="210" spans="1:11" ht="12.95" customHeight="1">
      <c r="A210" s="76"/>
      <c r="B210" s="62" t="s">
        <v>136</v>
      </c>
      <c r="C210" s="37"/>
      <c r="D210" s="37" t="s">
        <v>19</v>
      </c>
      <c r="E210" s="38">
        <v>2543</v>
      </c>
      <c r="F210" s="39" t="s">
        <v>137</v>
      </c>
      <c r="G210" s="42">
        <v>1</v>
      </c>
      <c r="H210" s="53">
        <f>(Tabelle1[[#This Row],[ca. Anzahl
Titel pro Jahr]]*18.7)</f>
        <v>18.7</v>
      </c>
      <c r="I210" s="41">
        <f t="shared" si="2"/>
        <v>0</v>
      </c>
      <c r="J210" s="17"/>
      <c r="K210" s="17"/>
    </row>
    <row r="211" spans="1:11" ht="12.95" customHeight="1">
      <c r="A211" s="76"/>
      <c r="B211" s="51" t="s">
        <v>758</v>
      </c>
      <c r="C211" s="37"/>
      <c r="D211" s="37" t="s">
        <v>759</v>
      </c>
      <c r="E211" s="38">
        <v>5897</v>
      </c>
      <c r="F211" s="55" t="s">
        <v>868</v>
      </c>
      <c r="G211" s="42">
        <v>2</v>
      </c>
      <c r="H211" s="53">
        <v>29</v>
      </c>
      <c r="I211" s="41">
        <f t="shared" si="2"/>
        <v>0</v>
      </c>
      <c r="J211" s="17"/>
      <c r="K211" s="17"/>
    </row>
    <row r="212" spans="1:11" ht="12.95" customHeight="1">
      <c r="A212" s="76"/>
      <c r="B212" s="62" t="s">
        <v>1050</v>
      </c>
      <c r="C212" s="37"/>
      <c r="D212" s="54" t="s">
        <v>31</v>
      </c>
      <c r="E212" s="38">
        <v>6026</v>
      </c>
      <c r="F212" s="55" t="s">
        <v>1051</v>
      </c>
      <c r="G212" s="42">
        <v>4</v>
      </c>
      <c r="H212" s="53">
        <v>70</v>
      </c>
      <c r="I212" s="41">
        <f>A212*H212</f>
        <v>0</v>
      </c>
      <c r="J212" s="17"/>
      <c r="K212" s="17"/>
    </row>
    <row r="213" spans="1:11" ht="12.95" customHeight="1">
      <c r="A213" s="76"/>
      <c r="B213" s="62" t="s">
        <v>138</v>
      </c>
      <c r="C213" s="37"/>
      <c r="D213" s="37" t="s">
        <v>139</v>
      </c>
      <c r="E213" s="38">
        <v>5116</v>
      </c>
      <c r="F213" s="39" t="s">
        <v>33</v>
      </c>
      <c r="G213" s="42">
        <v>1</v>
      </c>
      <c r="H213" s="53">
        <v>11.9</v>
      </c>
      <c r="I213" s="41">
        <f t="shared" si="2"/>
        <v>0</v>
      </c>
      <c r="J213" s="17"/>
      <c r="K213" s="17"/>
    </row>
    <row r="214" spans="1:11" ht="12.95" customHeight="1">
      <c r="A214" s="76"/>
      <c r="B214" s="51" t="s">
        <v>485</v>
      </c>
      <c r="C214" s="37"/>
      <c r="D214" s="37" t="s">
        <v>139</v>
      </c>
      <c r="E214" s="38">
        <v>5481</v>
      </c>
      <c r="F214" s="39" t="s">
        <v>33</v>
      </c>
      <c r="G214" s="42">
        <v>2</v>
      </c>
      <c r="H214" s="53">
        <v>23.8</v>
      </c>
      <c r="I214" s="41">
        <f t="shared" si="2"/>
        <v>0</v>
      </c>
      <c r="J214" s="17"/>
      <c r="K214" s="17"/>
    </row>
    <row r="215" spans="1:11" ht="12.95" customHeight="1">
      <c r="A215" s="76"/>
      <c r="B215" s="62" t="s">
        <v>140</v>
      </c>
      <c r="C215" s="37"/>
      <c r="D215" s="37" t="s">
        <v>31</v>
      </c>
      <c r="E215" s="38">
        <v>2877</v>
      </c>
      <c r="F215" s="39" t="s">
        <v>20</v>
      </c>
      <c r="G215" s="42">
        <v>1</v>
      </c>
      <c r="H215" s="53">
        <f>(Tabelle1[[#This Row],[ca. Anzahl
Titel pro Jahr]]*13.3)</f>
        <v>13.3</v>
      </c>
      <c r="I215" s="41">
        <f t="shared" si="2"/>
        <v>0</v>
      </c>
      <c r="J215" s="17"/>
      <c r="K215" s="17"/>
    </row>
    <row r="216" spans="1:11" ht="12.95" customHeight="1">
      <c r="A216" s="76"/>
      <c r="B216" s="51" t="s">
        <v>141</v>
      </c>
      <c r="C216" s="37"/>
      <c r="D216" s="37" t="s">
        <v>17</v>
      </c>
      <c r="E216" s="38">
        <v>2730</v>
      </c>
      <c r="F216" s="39" t="s">
        <v>20</v>
      </c>
      <c r="G216" s="42">
        <v>1</v>
      </c>
      <c r="H216" s="53">
        <f>(Tabelle1[[#This Row],[ca. Anzahl
Titel pro Jahr]]*14.7)</f>
        <v>14.7</v>
      </c>
      <c r="I216" s="41">
        <f t="shared" si="2"/>
        <v>0</v>
      </c>
      <c r="J216" s="17"/>
      <c r="K216" s="17"/>
    </row>
    <row r="217" spans="1:11" ht="12.95" customHeight="1">
      <c r="A217" s="76"/>
      <c r="B217" s="62" t="s">
        <v>143</v>
      </c>
      <c r="C217" s="37"/>
      <c r="D217" s="37" t="s">
        <v>60</v>
      </c>
      <c r="E217" s="38">
        <v>1208</v>
      </c>
      <c r="F217" s="39" t="s">
        <v>632</v>
      </c>
      <c r="G217" s="42">
        <v>1</v>
      </c>
      <c r="H217" s="53">
        <f>(Tabelle1[[#This Row],[ca. Anzahl
Titel pro Jahr]]*24.3)</f>
        <v>24.3</v>
      </c>
      <c r="I217" s="41">
        <f t="shared" si="2"/>
        <v>0</v>
      </c>
      <c r="J217" s="17"/>
      <c r="K217" s="17"/>
    </row>
    <row r="218" spans="1:11" ht="12.95" customHeight="1">
      <c r="A218" s="76"/>
      <c r="B218" s="51" t="s">
        <v>760</v>
      </c>
      <c r="C218" s="37"/>
      <c r="D218" s="37" t="s">
        <v>721</v>
      </c>
      <c r="E218" s="38">
        <v>2549</v>
      </c>
      <c r="F218" s="55" t="s">
        <v>867</v>
      </c>
      <c r="G218" s="42">
        <v>1</v>
      </c>
      <c r="H218" s="53">
        <v>23.9</v>
      </c>
      <c r="I218" s="41">
        <f t="shared" si="2"/>
        <v>0</v>
      </c>
      <c r="J218" s="17"/>
      <c r="K218" s="17"/>
    </row>
    <row r="219" spans="1:11" ht="12.95" customHeight="1">
      <c r="A219" s="76"/>
      <c r="B219" s="62" t="s">
        <v>1052</v>
      </c>
      <c r="C219" s="37"/>
      <c r="D219" s="54" t="s">
        <v>38</v>
      </c>
      <c r="E219" s="38">
        <v>6027</v>
      </c>
      <c r="F219" s="55" t="s">
        <v>860</v>
      </c>
      <c r="G219" s="42">
        <v>1</v>
      </c>
      <c r="H219" s="53">
        <v>17.5</v>
      </c>
      <c r="I219" s="41">
        <f>A219*H219</f>
        <v>0</v>
      </c>
      <c r="J219" s="17"/>
      <c r="K219" s="17"/>
    </row>
    <row r="220" spans="1:11" ht="12.95" customHeight="1">
      <c r="A220" s="76"/>
      <c r="B220" s="51" t="s">
        <v>144</v>
      </c>
      <c r="C220" s="37"/>
      <c r="D220" s="37" t="s">
        <v>37</v>
      </c>
      <c r="E220" s="38">
        <v>4133</v>
      </c>
      <c r="F220" s="39" t="s">
        <v>145</v>
      </c>
      <c r="G220" s="42">
        <v>1</v>
      </c>
      <c r="H220" s="53">
        <f>(Tabelle1[[#This Row],[ca. Anzahl
Titel pro Jahr]]*32.3)</f>
        <v>32.299999999999997</v>
      </c>
      <c r="I220" s="41">
        <f t="shared" ref="I220:I263" si="3">A220*H220</f>
        <v>0</v>
      </c>
      <c r="J220" s="17"/>
      <c r="K220" s="17"/>
    </row>
    <row r="221" spans="1:11" ht="12.95" customHeight="1">
      <c r="A221" s="76"/>
      <c r="B221" s="51" t="s">
        <v>675</v>
      </c>
      <c r="C221" s="37"/>
      <c r="D221" s="37" t="s">
        <v>676</v>
      </c>
      <c r="E221" s="38">
        <v>5801</v>
      </c>
      <c r="F221" s="39" t="s">
        <v>57</v>
      </c>
      <c r="G221" s="42">
        <v>1</v>
      </c>
      <c r="H221" s="53">
        <f>(Tabelle1[[#This Row],[ca. Anzahl
Titel pro Jahr]]*14.7)</f>
        <v>14.7</v>
      </c>
      <c r="I221" s="41">
        <f t="shared" si="3"/>
        <v>0</v>
      </c>
      <c r="J221" s="17"/>
      <c r="K221" s="17"/>
    </row>
    <row r="222" spans="1:11" ht="12.95" customHeight="1">
      <c r="A222" s="76"/>
      <c r="B222" s="62" t="s">
        <v>146</v>
      </c>
      <c r="C222" s="37"/>
      <c r="D222" s="37" t="s">
        <v>65</v>
      </c>
      <c r="E222" s="38">
        <v>4730</v>
      </c>
      <c r="F222" s="39" t="s">
        <v>33</v>
      </c>
      <c r="G222" s="42">
        <v>1</v>
      </c>
      <c r="H222" s="53">
        <f>(Tabelle1[[#This Row],[ca. Anzahl
Titel pro Jahr]]*18.7)</f>
        <v>18.7</v>
      </c>
      <c r="I222" s="41">
        <f t="shared" si="3"/>
        <v>0</v>
      </c>
      <c r="J222" s="17"/>
      <c r="K222" s="17"/>
    </row>
    <row r="223" spans="1:11" ht="12.95" customHeight="1">
      <c r="A223" s="76"/>
      <c r="B223" s="51" t="s">
        <v>147</v>
      </c>
      <c r="C223" s="37"/>
      <c r="D223" s="37" t="s">
        <v>17</v>
      </c>
      <c r="E223" s="38">
        <v>4914</v>
      </c>
      <c r="F223" s="39" t="s">
        <v>25</v>
      </c>
      <c r="G223" s="42">
        <v>1</v>
      </c>
      <c r="H223" s="53">
        <f>(Tabelle1[[#This Row],[ca. Anzahl
Titel pro Jahr]]*17.3)</f>
        <v>17.3</v>
      </c>
      <c r="I223" s="41">
        <f t="shared" si="3"/>
        <v>0</v>
      </c>
      <c r="J223" s="17"/>
      <c r="K223" s="17"/>
    </row>
    <row r="224" spans="1:11" ht="12.95" customHeight="1">
      <c r="A224" s="76"/>
      <c r="B224" s="62" t="s">
        <v>427</v>
      </c>
      <c r="C224" s="37"/>
      <c r="D224" s="37" t="s">
        <v>17</v>
      </c>
      <c r="E224" s="38">
        <v>5295</v>
      </c>
      <c r="F224" s="39" t="s">
        <v>428</v>
      </c>
      <c r="G224" s="42">
        <v>2</v>
      </c>
      <c r="H224" s="53">
        <f>(Tabelle1[[#This Row],[ca. Anzahl
Titel pro Jahr]]*15.7)</f>
        <v>31.4</v>
      </c>
      <c r="I224" s="41">
        <f t="shared" si="3"/>
        <v>0</v>
      </c>
      <c r="J224" s="17"/>
      <c r="K224" s="17"/>
    </row>
    <row r="225" spans="1:11" ht="12.95" customHeight="1">
      <c r="A225" s="76"/>
      <c r="B225" s="62" t="s">
        <v>329</v>
      </c>
      <c r="C225" s="37"/>
      <c r="D225" s="37" t="s">
        <v>31</v>
      </c>
      <c r="E225" s="38">
        <v>5042</v>
      </c>
      <c r="F225" s="39" t="s">
        <v>148</v>
      </c>
      <c r="G225" s="42">
        <v>1</v>
      </c>
      <c r="H225" s="53">
        <v>18.5</v>
      </c>
      <c r="I225" s="41">
        <f t="shared" si="3"/>
        <v>0</v>
      </c>
      <c r="J225" s="17"/>
      <c r="K225" s="17"/>
    </row>
    <row r="226" spans="1:11" ht="12.95" customHeight="1">
      <c r="A226" s="76"/>
      <c r="B226" s="51" t="s">
        <v>698</v>
      </c>
      <c r="C226" s="37"/>
      <c r="D226" s="37" t="s">
        <v>251</v>
      </c>
      <c r="E226" s="38">
        <v>5827</v>
      </c>
      <c r="F226" s="39" t="s">
        <v>699</v>
      </c>
      <c r="G226" s="42">
        <v>1</v>
      </c>
      <c r="H226" s="53">
        <f>(Tabelle1[[#This Row],[ca. Anzahl
Titel pro Jahr]]*20.3)</f>
        <v>20.3</v>
      </c>
      <c r="I226" s="41">
        <f t="shared" si="3"/>
        <v>0</v>
      </c>
      <c r="J226" s="17"/>
      <c r="K226" s="17"/>
    </row>
    <row r="227" spans="1:11" ht="12.95" customHeight="1">
      <c r="A227" s="76"/>
      <c r="B227" s="62" t="s">
        <v>593</v>
      </c>
      <c r="C227" s="37"/>
      <c r="D227" s="37" t="s">
        <v>48</v>
      </c>
      <c r="E227" s="38">
        <v>5671</v>
      </c>
      <c r="F227" s="39" t="s">
        <v>594</v>
      </c>
      <c r="G227" s="42">
        <v>1</v>
      </c>
      <c r="H227" s="53">
        <v>20.5</v>
      </c>
      <c r="I227" s="41">
        <f t="shared" si="3"/>
        <v>0</v>
      </c>
      <c r="J227" s="17"/>
      <c r="K227" s="17"/>
    </row>
    <row r="228" spans="1:11" ht="12.95" customHeight="1">
      <c r="A228" s="76"/>
      <c r="B228" s="62" t="s">
        <v>508</v>
      </c>
      <c r="C228" s="37"/>
      <c r="D228" s="37" t="s">
        <v>19</v>
      </c>
      <c r="E228" s="38">
        <v>5527</v>
      </c>
      <c r="F228" s="39" t="s">
        <v>437</v>
      </c>
      <c r="G228" s="42">
        <v>1</v>
      </c>
      <c r="H228" s="53">
        <v>17.5</v>
      </c>
      <c r="I228" s="41">
        <f t="shared" si="3"/>
        <v>0</v>
      </c>
      <c r="J228" s="17"/>
      <c r="K228" s="17"/>
    </row>
    <row r="229" spans="1:11" ht="12.95" customHeight="1">
      <c r="A229" s="76"/>
      <c r="B229" s="62" t="s">
        <v>1023</v>
      </c>
      <c r="C229" s="37"/>
      <c r="D229" s="54" t="s">
        <v>60</v>
      </c>
      <c r="E229" s="38">
        <v>5997</v>
      </c>
      <c r="F229" s="55" t="s">
        <v>1024</v>
      </c>
      <c r="G229" s="42">
        <v>2</v>
      </c>
      <c r="H229" s="53">
        <v>29</v>
      </c>
      <c r="I229" s="41">
        <f>A229*H229</f>
        <v>0</v>
      </c>
      <c r="J229" s="17"/>
      <c r="K229" s="17"/>
    </row>
    <row r="230" spans="1:11" ht="12.95" customHeight="1">
      <c r="A230" s="76"/>
      <c r="B230" s="51" t="s">
        <v>149</v>
      </c>
      <c r="C230" s="37"/>
      <c r="D230" s="37" t="s">
        <v>34</v>
      </c>
      <c r="E230" s="38">
        <v>205</v>
      </c>
      <c r="F230" s="39" t="s">
        <v>23</v>
      </c>
      <c r="G230" s="42">
        <v>4</v>
      </c>
      <c r="H230" s="53">
        <f>(Tabelle1[[#This Row],[ca. Anzahl
Titel pro Jahr]]*17.3)</f>
        <v>69.2</v>
      </c>
      <c r="I230" s="41">
        <f t="shared" si="3"/>
        <v>0</v>
      </c>
      <c r="J230" s="17"/>
      <c r="K230" s="17"/>
    </row>
    <row r="231" spans="1:11" ht="12.95" customHeight="1">
      <c r="A231" s="76"/>
      <c r="B231" s="62" t="s">
        <v>150</v>
      </c>
      <c r="C231" s="37"/>
      <c r="D231" s="37" t="s">
        <v>31</v>
      </c>
      <c r="E231" s="38">
        <v>2559</v>
      </c>
      <c r="F231" s="39" t="s">
        <v>23</v>
      </c>
      <c r="G231" s="42">
        <v>1</v>
      </c>
      <c r="H231" s="53">
        <f>(Tabelle1[[#This Row],[ca. Anzahl
Titel pro Jahr]]*9.5)</f>
        <v>9.5</v>
      </c>
      <c r="I231" s="41">
        <f t="shared" si="3"/>
        <v>0</v>
      </c>
      <c r="J231" s="17"/>
      <c r="K231" s="17"/>
    </row>
    <row r="232" spans="1:11" ht="12.95" customHeight="1">
      <c r="A232" s="76"/>
      <c r="B232" s="62" t="s">
        <v>985</v>
      </c>
      <c r="C232" s="37"/>
      <c r="D232" s="54" t="s">
        <v>34</v>
      </c>
      <c r="E232" s="38">
        <v>5935</v>
      </c>
      <c r="F232" s="55" t="s">
        <v>986</v>
      </c>
      <c r="G232" s="42">
        <v>2</v>
      </c>
      <c r="H232" s="53">
        <v>33.799999999999997</v>
      </c>
      <c r="I232" s="41">
        <f>A232*H232</f>
        <v>0</v>
      </c>
      <c r="J232" s="17"/>
      <c r="K232" s="17"/>
    </row>
    <row r="233" spans="1:11" ht="12.95" customHeight="1">
      <c r="A233" s="76"/>
      <c r="B233" s="51" t="s">
        <v>677</v>
      </c>
      <c r="C233" s="37"/>
      <c r="D233" s="37" t="s">
        <v>50</v>
      </c>
      <c r="E233" s="38">
        <v>5802</v>
      </c>
      <c r="F233" s="39" t="s">
        <v>678</v>
      </c>
      <c r="G233" s="42">
        <v>2</v>
      </c>
      <c r="H233" s="53">
        <v>37</v>
      </c>
      <c r="I233" s="41">
        <f t="shared" si="3"/>
        <v>0</v>
      </c>
      <c r="J233" s="17"/>
      <c r="K233" s="17"/>
    </row>
    <row r="234" spans="1:11" ht="12.95" customHeight="1">
      <c r="A234" s="76"/>
      <c r="B234" s="62" t="s">
        <v>634</v>
      </c>
      <c r="C234" s="37"/>
      <c r="D234" s="37" t="s">
        <v>152</v>
      </c>
      <c r="E234" s="38">
        <v>5316</v>
      </c>
      <c r="F234" s="39" t="s">
        <v>18</v>
      </c>
      <c r="G234" s="42">
        <v>2</v>
      </c>
      <c r="H234" s="53">
        <v>23.8</v>
      </c>
      <c r="I234" s="41">
        <f t="shared" si="3"/>
        <v>0</v>
      </c>
      <c r="J234" s="17"/>
      <c r="K234" s="17"/>
    </row>
    <row r="235" spans="1:11" ht="12.95" customHeight="1">
      <c r="A235" s="76"/>
      <c r="B235" s="51" t="s">
        <v>151</v>
      </c>
      <c r="C235" s="37"/>
      <c r="D235" s="37" t="s">
        <v>152</v>
      </c>
      <c r="E235" s="38">
        <v>2747</v>
      </c>
      <c r="F235" s="39" t="s">
        <v>18</v>
      </c>
      <c r="G235" s="42">
        <v>2</v>
      </c>
      <c r="H235" s="53">
        <v>27</v>
      </c>
      <c r="I235" s="41">
        <f t="shared" si="3"/>
        <v>0</v>
      </c>
      <c r="J235" s="17"/>
      <c r="K235" s="17"/>
    </row>
    <row r="236" spans="1:11" ht="12.95" customHeight="1">
      <c r="A236" s="76"/>
      <c r="B236" s="62" t="s">
        <v>153</v>
      </c>
      <c r="C236" s="37"/>
      <c r="D236" s="37" t="s">
        <v>152</v>
      </c>
      <c r="E236" s="38">
        <v>2748</v>
      </c>
      <c r="F236" s="39" t="s">
        <v>154</v>
      </c>
      <c r="G236" s="42">
        <v>2</v>
      </c>
      <c r="H236" s="53">
        <v>27</v>
      </c>
      <c r="I236" s="41">
        <f t="shared" si="3"/>
        <v>0</v>
      </c>
      <c r="J236" s="17"/>
      <c r="K236" s="17"/>
    </row>
    <row r="237" spans="1:11" ht="12.95" customHeight="1">
      <c r="A237" s="76"/>
      <c r="B237" s="51" t="s">
        <v>679</v>
      </c>
      <c r="C237" s="37"/>
      <c r="D237" s="37" t="s">
        <v>58</v>
      </c>
      <c r="E237" s="38">
        <v>5806</v>
      </c>
      <c r="F237" s="39" t="s">
        <v>355</v>
      </c>
      <c r="G237" s="42">
        <v>1</v>
      </c>
      <c r="H237" s="53">
        <v>21.5</v>
      </c>
      <c r="I237" s="41">
        <f t="shared" si="3"/>
        <v>0</v>
      </c>
      <c r="J237" s="17"/>
      <c r="K237" s="17"/>
    </row>
    <row r="238" spans="1:11" ht="12.95" customHeight="1">
      <c r="A238" s="76"/>
      <c r="B238" s="62" t="s">
        <v>155</v>
      </c>
      <c r="C238" s="37"/>
      <c r="D238" s="37" t="s">
        <v>17</v>
      </c>
      <c r="E238" s="38">
        <v>2489</v>
      </c>
      <c r="F238" s="39" t="s">
        <v>18</v>
      </c>
      <c r="G238" s="42">
        <v>1</v>
      </c>
      <c r="H238" s="53">
        <f>(Tabelle1[[#This Row],[ca. Anzahl
Titel pro Jahr]]*15.7)</f>
        <v>15.7</v>
      </c>
      <c r="I238" s="41">
        <f t="shared" si="3"/>
        <v>0</v>
      </c>
      <c r="J238" s="17"/>
      <c r="K238" s="17"/>
    </row>
    <row r="239" spans="1:11" ht="12.95" customHeight="1">
      <c r="A239" s="76"/>
      <c r="B239" s="51" t="s">
        <v>700</v>
      </c>
      <c r="C239" s="37"/>
      <c r="D239" s="37" t="s">
        <v>701</v>
      </c>
      <c r="E239" s="38">
        <v>5828</v>
      </c>
      <c r="F239" s="39" t="s">
        <v>396</v>
      </c>
      <c r="G239" s="42">
        <v>3</v>
      </c>
      <c r="H239" s="53">
        <f>(Tabelle1[[#This Row],[ca. Anzahl
Titel pro Jahr]]*12.3)</f>
        <v>36.900000000000006</v>
      </c>
      <c r="I239" s="41">
        <f t="shared" si="3"/>
        <v>0</v>
      </c>
      <c r="J239" s="17"/>
      <c r="K239" s="17"/>
    </row>
    <row r="240" spans="1:11" ht="12.95" customHeight="1">
      <c r="A240" s="76"/>
      <c r="B240" s="62" t="s">
        <v>987</v>
      </c>
      <c r="C240" s="37"/>
      <c r="D240" s="54" t="s">
        <v>61</v>
      </c>
      <c r="E240" s="38">
        <v>5931</v>
      </c>
      <c r="F240" s="55" t="s">
        <v>91</v>
      </c>
      <c r="G240" s="42">
        <v>1</v>
      </c>
      <c r="H240" s="53">
        <v>18.5</v>
      </c>
      <c r="I240" s="41">
        <f>A240*H240</f>
        <v>0</v>
      </c>
      <c r="J240" s="17"/>
      <c r="K240" s="17"/>
    </row>
    <row r="241" spans="1:11" ht="12.95" customHeight="1">
      <c r="A241" s="76"/>
      <c r="B241" s="62" t="s">
        <v>330</v>
      </c>
      <c r="C241" s="37"/>
      <c r="D241" s="37" t="s">
        <v>61</v>
      </c>
      <c r="E241" s="38">
        <v>5066</v>
      </c>
      <c r="F241" s="39" t="s">
        <v>57</v>
      </c>
      <c r="G241" s="42">
        <v>1</v>
      </c>
      <c r="H241" s="53">
        <f>(Tabelle1[[#This Row],[ca. Anzahl
Titel pro Jahr]]*13.3)</f>
        <v>13.3</v>
      </c>
      <c r="I241" s="41">
        <f t="shared" si="3"/>
        <v>0</v>
      </c>
      <c r="J241" s="17"/>
      <c r="K241" s="17"/>
    </row>
    <row r="242" spans="1:11" ht="12.95" customHeight="1">
      <c r="A242" s="76"/>
      <c r="B242" s="51" t="s">
        <v>650</v>
      </c>
      <c r="C242" s="37"/>
      <c r="D242" s="37" t="s">
        <v>67</v>
      </c>
      <c r="E242" s="38">
        <v>5760</v>
      </c>
      <c r="F242" s="39" t="s">
        <v>651</v>
      </c>
      <c r="G242" s="42">
        <v>1</v>
      </c>
      <c r="H242" s="53">
        <f>(Tabelle1[[#This Row],[ca. Anzahl
Titel pro Jahr]]*14.7)</f>
        <v>14.7</v>
      </c>
      <c r="I242" s="41">
        <f t="shared" si="3"/>
        <v>0</v>
      </c>
      <c r="J242" s="17"/>
      <c r="K242" s="17"/>
    </row>
    <row r="243" spans="1:11" ht="12.95" customHeight="1">
      <c r="A243" s="76"/>
      <c r="B243" s="62" t="s">
        <v>761</v>
      </c>
      <c r="C243" s="37"/>
      <c r="D243" s="37" t="s">
        <v>65</v>
      </c>
      <c r="E243" s="38">
        <v>5625</v>
      </c>
      <c r="F243" s="55" t="s">
        <v>874</v>
      </c>
      <c r="G243" s="42">
        <v>1</v>
      </c>
      <c r="H243" s="53">
        <v>23</v>
      </c>
      <c r="I243" s="41">
        <f t="shared" si="3"/>
        <v>0</v>
      </c>
      <c r="J243" s="17"/>
      <c r="K243" s="17"/>
    </row>
    <row r="244" spans="1:11" ht="12.95" customHeight="1">
      <c r="A244" s="76"/>
      <c r="B244" s="62" t="s">
        <v>1035</v>
      </c>
      <c r="C244" s="37"/>
      <c r="D244" s="54" t="s">
        <v>67</v>
      </c>
      <c r="E244" s="38">
        <v>6005</v>
      </c>
      <c r="F244" s="55" t="s">
        <v>1036</v>
      </c>
      <c r="G244" s="42">
        <v>2</v>
      </c>
      <c r="H244" s="53">
        <v>35</v>
      </c>
      <c r="I244" s="41">
        <f>A244*H244</f>
        <v>0</v>
      </c>
      <c r="J244" s="17"/>
      <c r="K244" s="17"/>
    </row>
    <row r="245" spans="1:11" ht="12.95" customHeight="1">
      <c r="A245" s="76"/>
      <c r="B245" s="51" t="s">
        <v>156</v>
      </c>
      <c r="C245" s="37"/>
      <c r="D245" s="37" t="s">
        <v>34</v>
      </c>
      <c r="E245" s="38">
        <v>4399</v>
      </c>
      <c r="F245" s="39" t="s">
        <v>57</v>
      </c>
      <c r="G245" s="42">
        <v>3</v>
      </c>
      <c r="H245" s="53">
        <v>50.7</v>
      </c>
      <c r="I245" s="41">
        <f t="shared" si="3"/>
        <v>0</v>
      </c>
      <c r="J245" s="17"/>
      <c r="K245" s="17"/>
    </row>
    <row r="246" spans="1:11" ht="12.95" customHeight="1">
      <c r="A246" s="76"/>
      <c r="B246" s="51" t="s">
        <v>643</v>
      </c>
      <c r="C246" s="37"/>
      <c r="D246" s="37" t="s">
        <v>644</v>
      </c>
      <c r="E246" s="38">
        <v>5763</v>
      </c>
      <c r="F246" s="39" t="s">
        <v>645</v>
      </c>
      <c r="G246" s="42">
        <v>1</v>
      </c>
      <c r="H246" s="53">
        <f>(Tabelle1[[#This Row],[ca. Anzahl
Titel pro Jahr]]*13.3)</f>
        <v>13.3</v>
      </c>
      <c r="I246" s="41">
        <f t="shared" si="3"/>
        <v>0</v>
      </c>
      <c r="J246" s="17"/>
      <c r="K246" s="17"/>
    </row>
    <row r="247" spans="1:11" ht="12.95" customHeight="1">
      <c r="A247" s="76"/>
      <c r="B247" s="62" t="s">
        <v>545</v>
      </c>
      <c r="C247" s="37"/>
      <c r="D247" s="37" t="s">
        <v>60</v>
      </c>
      <c r="E247" s="38">
        <v>5542</v>
      </c>
      <c r="F247" s="39" t="s">
        <v>33</v>
      </c>
      <c r="G247" s="42">
        <v>1</v>
      </c>
      <c r="H247" s="53">
        <f>(Tabelle1[[#This Row],[ca. Anzahl
Titel pro Jahr]]*14.7)</f>
        <v>14.7</v>
      </c>
      <c r="I247" s="41">
        <f t="shared" si="3"/>
        <v>0</v>
      </c>
      <c r="J247" s="17"/>
      <c r="K247" s="17"/>
    </row>
    <row r="248" spans="1:11" ht="12.95" customHeight="1">
      <c r="A248" s="76"/>
      <c r="B248" s="62" t="s">
        <v>995</v>
      </c>
      <c r="C248" s="37"/>
      <c r="D248" s="54" t="s">
        <v>32</v>
      </c>
      <c r="E248" s="38">
        <v>5948</v>
      </c>
      <c r="F248" s="55" t="s">
        <v>996</v>
      </c>
      <c r="G248" s="42">
        <v>1</v>
      </c>
      <c r="H248" s="53">
        <v>20.5</v>
      </c>
      <c r="I248" s="41">
        <f>A248*H248</f>
        <v>0</v>
      </c>
      <c r="J248" s="17"/>
      <c r="K248" s="17"/>
    </row>
    <row r="249" spans="1:11" ht="12.95" customHeight="1">
      <c r="A249" s="76"/>
      <c r="B249" s="62" t="s">
        <v>993</v>
      </c>
      <c r="C249" s="37"/>
      <c r="D249" s="54" t="s">
        <v>50</v>
      </c>
      <c r="E249" s="38">
        <v>5932</v>
      </c>
      <c r="F249" s="55" t="s">
        <v>25</v>
      </c>
      <c r="G249" s="42">
        <v>3</v>
      </c>
      <c r="H249" s="53">
        <v>55.5</v>
      </c>
      <c r="I249" s="41">
        <f>A249*H249</f>
        <v>0</v>
      </c>
      <c r="J249" s="17"/>
      <c r="K249" s="17"/>
    </row>
    <row r="250" spans="1:11" ht="12.95" customHeight="1">
      <c r="A250" s="76"/>
      <c r="B250" s="62" t="s">
        <v>994</v>
      </c>
      <c r="C250" s="37"/>
      <c r="D250" s="54" t="s">
        <v>15</v>
      </c>
      <c r="E250" s="38">
        <v>5670</v>
      </c>
      <c r="F250" s="55" t="s">
        <v>396</v>
      </c>
      <c r="G250" s="42">
        <v>1</v>
      </c>
      <c r="H250" s="53">
        <v>16.899999999999999</v>
      </c>
      <c r="I250" s="41">
        <f>A250*H250</f>
        <v>0</v>
      </c>
      <c r="J250" s="17"/>
      <c r="K250" s="17"/>
    </row>
    <row r="251" spans="1:11" ht="12.95" customHeight="1">
      <c r="A251" s="76"/>
      <c r="B251" s="51" t="s">
        <v>680</v>
      </c>
      <c r="C251" s="37"/>
      <c r="D251" s="37" t="s">
        <v>681</v>
      </c>
      <c r="E251" s="38">
        <v>5803</v>
      </c>
      <c r="F251" s="39" t="s">
        <v>682</v>
      </c>
      <c r="G251" s="42">
        <v>1</v>
      </c>
      <c r="H251" s="53">
        <v>18.5</v>
      </c>
      <c r="I251" s="41">
        <f t="shared" si="3"/>
        <v>0</v>
      </c>
      <c r="J251" s="17"/>
      <c r="K251" s="17"/>
    </row>
    <row r="252" spans="1:11" ht="12.95" customHeight="1">
      <c r="A252" s="76"/>
      <c r="B252" s="62" t="s">
        <v>331</v>
      </c>
      <c r="C252" s="37"/>
      <c r="D252" s="37" t="s">
        <v>14</v>
      </c>
      <c r="E252" s="38">
        <v>5024</v>
      </c>
      <c r="F252" s="39" t="s">
        <v>18</v>
      </c>
      <c r="G252" s="42">
        <v>4</v>
      </c>
      <c r="H252" s="53">
        <f>(Tabelle1[[#This Row],[ca. Anzahl
Titel pro Jahr]]*12.3)</f>
        <v>49.2</v>
      </c>
      <c r="I252" s="41">
        <f t="shared" si="3"/>
        <v>0</v>
      </c>
      <c r="J252" s="17"/>
      <c r="K252" s="17"/>
    </row>
    <row r="253" spans="1:11" ht="12.95" customHeight="1">
      <c r="A253" s="76"/>
      <c r="B253" s="51" t="s">
        <v>582</v>
      </c>
      <c r="C253" s="37"/>
      <c r="D253" s="37" t="s">
        <v>15</v>
      </c>
      <c r="E253" s="38">
        <v>5700</v>
      </c>
      <c r="F253" s="39" t="s">
        <v>18</v>
      </c>
      <c r="G253" s="42">
        <v>1</v>
      </c>
      <c r="H253" s="53">
        <f>(Tabelle1[[#This Row],[ca. Anzahl
Titel pro Jahr]]*13.3)</f>
        <v>13.3</v>
      </c>
      <c r="I253" s="41">
        <f t="shared" si="3"/>
        <v>0</v>
      </c>
      <c r="J253" s="17"/>
      <c r="K253" s="17"/>
    </row>
    <row r="254" spans="1:11" ht="12.95" customHeight="1">
      <c r="A254" s="76"/>
      <c r="B254" s="62" t="s">
        <v>683</v>
      </c>
      <c r="C254" s="37"/>
      <c r="D254" s="37" t="s">
        <v>50</v>
      </c>
      <c r="E254" s="38">
        <v>5804</v>
      </c>
      <c r="F254" s="39" t="s">
        <v>684</v>
      </c>
      <c r="G254" s="42">
        <v>1</v>
      </c>
      <c r="H254" s="53">
        <f>(Tabelle1[[#This Row],[ca. Anzahl
Titel pro Jahr]]*21.9)</f>
        <v>21.9</v>
      </c>
      <c r="I254" s="41">
        <f t="shared" si="3"/>
        <v>0</v>
      </c>
      <c r="J254" s="17"/>
      <c r="K254" s="17"/>
    </row>
    <row r="255" spans="1:11" ht="12.95" customHeight="1">
      <c r="A255" s="76"/>
      <c r="B255" s="51" t="s">
        <v>486</v>
      </c>
      <c r="C255" s="37"/>
      <c r="D255" s="37" t="s">
        <v>17</v>
      </c>
      <c r="E255" s="38">
        <v>5479</v>
      </c>
      <c r="F255" s="39" t="s">
        <v>133</v>
      </c>
      <c r="G255" s="42">
        <v>1</v>
      </c>
      <c r="H255" s="53">
        <f>(Tabelle1[[#This Row],[ca. Anzahl
Titel pro Jahr]]*15.7)</f>
        <v>15.7</v>
      </c>
      <c r="I255" s="41">
        <f t="shared" si="3"/>
        <v>0</v>
      </c>
      <c r="J255" s="17"/>
      <c r="K255" s="17"/>
    </row>
    <row r="256" spans="1:11" ht="12.95" customHeight="1">
      <c r="A256" s="76"/>
      <c r="B256" s="62" t="s">
        <v>875</v>
      </c>
      <c r="C256" s="37"/>
      <c r="D256" s="37" t="s">
        <v>759</v>
      </c>
      <c r="E256" s="38">
        <v>5646</v>
      </c>
      <c r="F256" s="55" t="s">
        <v>876</v>
      </c>
      <c r="G256" s="42">
        <v>1</v>
      </c>
      <c r="H256" s="53">
        <v>19.899999999999999</v>
      </c>
      <c r="I256" s="41">
        <f t="shared" si="3"/>
        <v>0</v>
      </c>
      <c r="J256" s="17"/>
      <c r="K256" s="17"/>
    </row>
    <row r="257" spans="1:11" ht="12.95" customHeight="1">
      <c r="A257" s="76"/>
      <c r="B257" s="51" t="s">
        <v>646</v>
      </c>
      <c r="C257" s="37"/>
      <c r="D257" s="37" t="s">
        <v>516</v>
      </c>
      <c r="E257" s="38">
        <v>5762</v>
      </c>
      <c r="F257" s="39" t="s">
        <v>647</v>
      </c>
      <c r="G257" s="42">
        <v>1</v>
      </c>
      <c r="H257" s="53">
        <f>(Tabelle1[[#This Row],[ca. Anzahl
Titel pro Jahr]]*21.9)</f>
        <v>21.9</v>
      </c>
      <c r="I257" s="41">
        <f t="shared" si="3"/>
        <v>0</v>
      </c>
      <c r="J257" s="17"/>
      <c r="K257" s="17"/>
    </row>
    <row r="258" spans="1:11" ht="12.95" customHeight="1">
      <c r="A258" s="76"/>
      <c r="B258" s="62" t="s">
        <v>157</v>
      </c>
      <c r="C258" s="37"/>
      <c r="D258" s="37" t="s">
        <v>67</v>
      </c>
      <c r="E258" s="38">
        <v>4930</v>
      </c>
      <c r="F258" s="39" t="s">
        <v>158</v>
      </c>
      <c r="G258" s="42">
        <v>1</v>
      </c>
      <c r="H258" s="53">
        <v>25.5</v>
      </c>
      <c r="I258" s="41">
        <f t="shared" si="3"/>
        <v>0</v>
      </c>
      <c r="J258" s="17"/>
      <c r="K258" s="17"/>
    </row>
    <row r="259" spans="1:11" ht="12.95" customHeight="1">
      <c r="A259" s="76"/>
      <c r="B259" s="62" t="s">
        <v>484</v>
      </c>
      <c r="C259" s="37"/>
      <c r="D259" s="37" t="s">
        <v>37</v>
      </c>
      <c r="E259" s="38">
        <v>5480</v>
      </c>
      <c r="F259" s="39" t="s">
        <v>25</v>
      </c>
      <c r="G259" s="42">
        <v>1</v>
      </c>
      <c r="H259" s="53">
        <f>(Tabelle1[[#This Row],[ca. Anzahl
Titel pro Jahr]]*20.3)</f>
        <v>20.3</v>
      </c>
      <c r="I259" s="41">
        <f t="shared" si="3"/>
        <v>0</v>
      </c>
      <c r="J259" s="17"/>
      <c r="K259" s="17"/>
    </row>
    <row r="260" spans="1:11" ht="12.95" customHeight="1">
      <c r="A260" s="76"/>
      <c r="B260" s="51" t="s">
        <v>326</v>
      </c>
      <c r="C260" s="37"/>
      <c r="D260" s="37" t="s">
        <v>61</v>
      </c>
      <c r="E260" s="38">
        <v>5135</v>
      </c>
      <c r="F260" s="39" t="s">
        <v>25</v>
      </c>
      <c r="G260" s="42">
        <v>1</v>
      </c>
      <c r="H260" s="53">
        <f>(Tabelle1[[#This Row],[ca. Anzahl
Titel pro Jahr]]*14.7)</f>
        <v>14.7</v>
      </c>
      <c r="I260" s="41">
        <f t="shared" si="3"/>
        <v>0</v>
      </c>
      <c r="J260" s="17"/>
      <c r="K260" s="17"/>
    </row>
    <row r="261" spans="1:11" ht="12.95" customHeight="1">
      <c r="A261" s="76"/>
      <c r="B261" s="62" t="s">
        <v>762</v>
      </c>
      <c r="C261" s="37"/>
      <c r="D261" s="37" t="s">
        <v>17</v>
      </c>
      <c r="E261" s="38">
        <v>5752</v>
      </c>
      <c r="F261" s="55" t="s">
        <v>877</v>
      </c>
      <c r="G261" s="42">
        <v>2</v>
      </c>
      <c r="H261" s="53">
        <v>29</v>
      </c>
      <c r="I261" s="41">
        <f t="shared" si="3"/>
        <v>0</v>
      </c>
      <c r="J261" s="17"/>
      <c r="K261" s="17"/>
    </row>
    <row r="262" spans="1:11" ht="12.95" customHeight="1">
      <c r="A262" s="76"/>
      <c r="B262" s="51" t="s">
        <v>685</v>
      </c>
      <c r="C262" s="37"/>
      <c r="D262" s="37" t="s">
        <v>676</v>
      </c>
      <c r="E262" s="38">
        <v>5805</v>
      </c>
      <c r="F262" s="39" t="s">
        <v>471</v>
      </c>
      <c r="G262" s="42">
        <v>1</v>
      </c>
      <c r="H262" s="53">
        <f>(Tabelle1[[#This Row],[ca. Anzahl
Titel pro Jahr]]*14.7)</f>
        <v>14.7</v>
      </c>
      <c r="I262" s="41">
        <f t="shared" si="3"/>
        <v>0</v>
      </c>
      <c r="J262" s="17"/>
      <c r="K262" s="17"/>
    </row>
    <row r="263" spans="1:11" ht="12.95" customHeight="1">
      <c r="A263" s="76"/>
      <c r="B263" s="62" t="s">
        <v>763</v>
      </c>
      <c r="C263" s="37"/>
      <c r="D263" s="37" t="s">
        <v>159</v>
      </c>
      <c r="E263" s="38">
        <v>2540</v>
      </c>
      <c r="F263" s="55" t="s">
        <v>90</v>
      </c>
      <c r="G263" s="42">
        <v>1</v>
      </c>
      <c r="H263" s="53">
        <v>20.5</v>
      </c>
      <c r="I263" s="41">
        <f t="shared" si="3"/>
        <v>0</v>
      </c>
      <c r="J263" s="17"/>
      <c r="K263" s="17"/>
    </row>
    <row r="264" spans="1:11" ht="12.95" customHeight="1">
      <c r="A264" s="18"/>
      <c r="B264" s="64"/>
      <c r="C264" s="19"/>
      <c r="D264" s="19"/>
      <c r="E264" s="20"/>
      <c r="G264" s="21"/>
      <c r="H264" s="70"/>
      <c r="I264" s="22"/>
      <c r="J264" s="24"/>
      <c r="K264" s="24"/>
    </row>
    <row r="265" spans="1:11" ht="12.95" customHeight="1">
      <c r="A265" s="18"/>
      <c r="B265" s="64"/>
      <c r="C265" s="19"/>
      <c r="D265" s="19"/>
      <c r="E265" s="20"/>
      <c r="H265" s="71" t="s">
        <v>339</v>
      </c>
      <c r="I265" s="35">
        <f>SUM(I12:I263)</f>
        <v>0</v>
      </c>
      <c r="J265" s="24"/>
      <c r="K265" s="24"/>
    </row>
    <row r="266" spans="1:11" ht="12.95" customHeight="1">
      <c r="A266" s="18"/>
      <c r="B266" s="64"/>
      <c r="C266" s="19"/>
      <c r="D266" s="19"/>
      <c r="E266" s="20"/>
      <c r="G266" s="21"/>
      <c r="H266" s="70"/>
      <c r="I266" s="22"/>
      <c r="J266" s="23"/>
      <c r="K266" s="24"/>
    </row>
    <row r="267" spans="1:11" ht="12.95" customHeight="1">
      <c r="I267" s="22"/>
      <c r="J267" s="22"/>
    </row>
    <row r="268" spans="1:11" ht="18" customHeight="1">
      <c r="A268" s="97" t="s">
        <v>1059</v>
      </c>
      <c r="B268" s="98"/>
      <c r="C268" s="98"/>
      <c r="D268" s="98"/>
      <c r="E268" s="98"/>
      <c r="F268" s="98"/>
      <c r="G268" s="98"/>
      <c r="H268" s="98"/>
      <c r="I268" s="98"/>
      <c r="J268" s="98"/>
      <c r="K268" s="99"/>
    </row>
    <row r="269" spans="1:11" s="16" customFormat="1" ht="36" customHeight="1">
      <c r="A269" s="29" t="s">
        <v>5</v>
      </c>
      <c r="B269" s="61" t="s">
        <v>6</v>
      </c>
      <c r="C269" s="74" t="s">
        <v>638</v>
      </c>
      <c r="D269" s="31" t="s">
        <v>7</v>
      </c>
      <c r="E269" s="32" t="s">
        <v>8</v>
      </c>
      <c r="F269" s="31" t="s">
        <v>9</v>
      </c>
      <c r="G269" s="33" t="s">
        <v>10</v>
      </c>
      <c r="H269" s="69" t="s">
        <v>11</v>
      </c>
      <c r="I269" s="33" t="s">
        <v>347</v>
      </c>
      <c r="J269" s="33" t="s">
        <v>160</v>
      </c>
      <c r="K269" s="33" t="s">
        <v>13</v>
      </c>
    </row>
    <row r="270" spans="1:11" ht="12.95" customHeight="1">
      <c r="A270" s="77"/>
      <c r="B270" s="62" t="s">
        <v>161</v>
      </c>
      <c r="C270" s="37"/>
      <c r="D270" s="37" t="s">
        <v>50</v>
      </c>
      <c r="E270" s="38">
        <v>4629</v>
      </c>
      <c r="F270" s="39"/>
      <c r="G270" s="58">
        <v>1</v>
      </c>
      <c r="H270" s="53">
        <f>(14.7*Tabelle2[[#This Row],[ca. Anzahl
Titel pro Jahr]])</f>
        <v>14.7</v>
      </c>
      <c r="I270" s="41">
        <f t="shared" ref="I270:I303" si="4">A270*H270</f>
        <v>0</v>
      </c>
      <c r="J270" s="17"/>
      <c r="K270" s="17"/>
    </row>
    <row r="271" spans="1:11" ht="12.95" customHeight="1">
      <c r="A271" s="77"/>
      <c r="B271" s="62" t="s">
        <v>922</v>
      </c>
      <c r="C271" s="37"/>
      <c r="D271" s="54" t="s">
        <v>61</v>
      </c>
      <c r="E271" s="38">
        <v>5208</v>
      </c>
      <c r="F271" s="39"/>
      <c r="G271" s="58">
        <v>2</v>
      </c>
      <c r="H271" s="53">
        <v>18.5</v>
      </c>
      <c r="I271" s="41">
        <f>A271*H271</f>
        <v>0</v>
      </c>
      <c r="J271" s="17"/>
      <c r="K271" s="17"/>
    </row>
    <row r="272" spans="1:11" ht="12.95" customHeight="1">
      <c r="A272" s="77"/>
      <c r="B272" s="62" t="s">
        <v>923</v>
      </c>
      <c r="C272" s="37"/>
      <c r="D272" s="54" t="s">
        <v>61</v>
      </c>
      <c r="E272" s="38">
        <v>5371</v>
      </c>
      <c r="F272" s="39"/>
      <c r="G272" s="58">
        <v>3</v>
      </c>
      <c r="H272" s="53">
        <v>18.5</v>
      </c>
      <c r="I272" s="41">
        <f>A272*H272</f>
        <v>0</v>
      </c>
      <c r="J272" s="17"/>
      <c r="K272" s="17"/>
    </row>
    <row r="273" spans="1:11" ht="12.95" customHeight="1">
      <c r="A273" s="77"/>
      <c r="B273" s="62" t="s">
        <v>590</v>
      </c>
      <c r="C273" s="37"/>
      <c r="D273" s="54" t="s">
        <v>19</v>
      </c>
      <c r="E273" s="38">
        <v>5673</v>
      </c>
      <c r="F273" s="55"/>
      <c r="G273" s="57">
        <v>1</v>
      </c>
      <c r="H273" s="53">
        <v>28.9</v>
      </c>
      <c r="I273" s="41">
        <f t="shared" si="4"/>
        <v>0</v>
      </c>
      <c r="J273" s="17"/>
      <c r="K273" s="17"/>
    </row>
    <row r="274" spans="1:11" ht="12.95" customHeight="1">
      <c r="A274" s="77"/>
      <c r="B274" s="62" t="s">
        <v>580</v>
      </c>
      <c r="C274" s="37"/>
      <c r="D274" s="54" t="s">
        <v>581</v>
      </c>
      <c r="E274" s="38">
        <v>5702</v>
      </c>
      <c r="F274" s="55" t="s">
        <v>18</v>
      </c>
      <c r="G274" s="57">
        <v>4</v>
      </c>
      <c r="H274" s="53">
        <f>(12.7*Tabelle2[[#This Row],[ca. Anzahl
Titel pro Jahr]])</f>
        <v>50.8</v>
      </c>
      <c r="I274" s="41">
        <f t="shared" si="4"/>
        <v>0</v>
      </c>
      <c r="J274" s="17"/>
      <c r="K274" s="17"/>
    </row>
    <row r="275" spans="1:11" ht="12.95" customHeight="1">
      <c r="A275" s="77"/>
      <c r="B275" s="62" t="s">
        <v>535</v>
      </c>
      <c r="C275" s="37"/>
      <c r="D275" s="37" t="s">
        <v>536</v>
      </c>
      <c r="E275" s="38">
        <v>5563</v>
      </c>
      <c r="F275" s="39" t="s">
        <v>51</v>
      </c>
      <c r="G275" s="58">
        <v>1</v>
      </c>
      <c r="H275" s="53">
        <f>(Tabelle2[[#This Row],[ca. Anzahl
Titel pro Jahr]]*17.7)</f>
        <v>17.7</v>
      </c>
      <c r="I275" s="41">
        <f t="shared" si="4"/>
        <v>0</v>
      </c>
      <c r="J275" s="17"/>
      <c r="K275" s="17"/>
    </row>
    <row r="276" spans="1:11" ht="12.95" customHeight="1">
      <c r="A276" s="77"/>
      <c r="B276" s="62" t="s">
        <v>162</v>
      </c>
      <c r="C276" s="37"/>
      <c r="D276" s="54" t="s">
        <v>31</v>
      </c>
      <c r="E276" s="38">
        <v>4998</v>
      </c>
      <c r="F276" s="55"/>
      <c r="G276" s="57">
        <v>1</v>
      </c>
      <c r="H276" s="53">
        <f>(21.9*Tabelle2[[#This Row],[ca. Anzahl
Titel pro Jahr]])</f>
        <v>21.9</v>
      </c>
      <c r="I276" s="41">
        <f t="shared" si="4"/>
        <v>0</v>
      </c>
      <c r="J276" s="17"/>
      <c r="K276" s="17"/>
    </row>
    <row r="277" spans="1:11" ht="12.95" customHeight="1">
      <c r="A277" s="77"/>
      <c r="B277" s="62" t="s">
        <v>585</v>
      </c>
      <c r="C277" s="37"/>
      <c r="D277" s="37" t="s">
        <v>15</v>
      </c>
      <c r="E277" s="38">
        <v>5681</v>
      </c>
      <c r="F277" s="39" t="s">
        <v>586</v>
      </c>
      <c r="G277" s="58">
        <v>2</v>
      </c>
      <c r="H277" s="53">
        <f>(14.7*Tabelle2[[#This Row],[ca. Anzahl
Titel pro Jahr]])</f>
        <v>29.4</v>
      </c>
      <c r="I277" s="41">
        <f t="shared" si="4"/>
        <v>0</v>
      </c>
      <c r="J277" s="17"/>
      <c r="K277" s="17"/>
    </row>
    <row r="278" spans="1:11" ht="12.95" customHeight="1">
      <c r="A278" s="77"/>
      <c r="B278" s="62" t="s">
        <v>163</v>
      </c>
      <c r="C278" s="37"/>
      <c r="D278" s="54" t="s">
        <v>164</v>
      </c>
      <c r="E278" s="38">
        <v>960</v>
      </c>
      <c r="F278" s="55" t="s">
        <v>403</v>
      </c>
      <c r="G278" s="57">
        <v>1</v>
      </c>
      <c r="H278" s="53">
        <v>32.5</v>
      </c>
      <c r="I278" s="41">
        <f t="shared" si="4"/>
        <v>0</v>
      </c>
      <c r="J278" s="17"/>
      <c r="K278" s="17"/>
    </row>
    <row r="279" spans="1:11" ht="12.95" customHeight="1">
      <c r="A279" s="77"/>
      <c r="B279" s="62" t="s">
        <v>527</v>
      </c>
      <c r="C279" s="37"/>
      <c r="D279" s="37" t="s">
        <v>15</v>
      </c>
      <c r="E279" s="38">
        <v>5459</v>
      </c>
      <c r="F279" s="39"/>
      <c r="G279" s="58">
        <v>1</v>
      </c>
      <c r="H279" s="53">
        <v>18.5</v>
      </c>
      <c r="I279" s="41">
        <f t="shared" si="4"/>
        <v>0</v>
      </c>
      <c r="J279" s="17"/>
      <c r="K279" s="17"/>
    </row>
    <row r="280" spans="1:11" ht="12.95" customHeight="1">
      <c r="A280" s="77"/>
      <c r="B280" s="62" t="s">
        <v>970</v>
      </c>
      <c r="C280" s="37"/>
      <c r="D280" s="54" t="s">
        <v>600</v>
      </c>
      <c r="E280" s="38">
        <v>5575</v>
      </c>
      <c r="F280" s="55" t="s">
        <v>51</v>
      </c>
      <c r="G280" s="58">
        <v>1</v>
      </c>
      <c r="H280" s="53">
        <v>22.5</v>
      </c>
      <c r="I280" s="41">
        <f>A280*H280</f>
        <v>0</v>
      </c>
      <c r="J280" s="17"/>
      <c r="K280" s="17"/>
    </row>
    <row r="281" spans="1:11" ht="12.95" customHeight="1">
      <c r="A281" s="77"/>
      <c r="B281" s="62" t="s">
        <v>572</v>
      </c>
      <c r="C281" s="37"/>
      <c r="D281" s="54" t="s">
        <v>34</v>
      </c>
      <c r="E281" s="38">
        <v>2744</v>
      </c>
      <c r="F281" s="55"/>
      <c r="G281" s="57">
        <v>3</v>
      </c>
      <c r="H281" s="53">
        <f>(17.3*Tabelle2[[#This Row],[ca. Anzahl
Titel pro Jahr]])</f>
        <v>51.900000000000006</v>
      </c>
      <c r="I281" s="41">
        <f t="shared" si="4"/>
        <v>0</v>
      </c>
      <c r="J281" s="17"/>
      <c r="K281" s="17"/>
    </row>
    <row r="282" spans="1:11" ht="12.95" customHeight="1">
      <c r="A282" s="77"/>
      <c r="B282" s="62" t="s">
        <v>165</v>
      </c>
      <c r="C282" s="37"/>
      <c r="D282" s="54" t="s">
        <v>166</v>
      </c>
      <c r="E282" s="38">
        <v>4999</v>
      </c>
      <c r="F282" s="55" t="s">
        <v>51</v>
      </c>
      <c r="G282" s="57">
        <v>7</v>
      </c>
      <c r="H282" s="53">
        <f>(21.9*Tabelle2[[#This Row],[ca. Anzahl
Titel pro Jahr]])</f>
        <v>153.29999999999998</v>
      </c>
      <c r="I282" s="41">
        <f t="shared" si="4"/>
        <v>0</v>
      </c>
      <c r="J282" s="17"/>
      <c r="K282" s="17"/>
    </row>
    <row r="283" spans="1:11" ht="12.95" customHeight="1">
      <c r="A283" s="77"/>
      <c r="B283" s="62" t="s">
        <v>747</v>
      </c>
      <c r="C283" s="37"/>
      <c r="D283" s="37" t="s">
        <v>748</v>
      </c>
      <c r="E283" s="38">
        <v>5581</v>
      </c>
      <c r="F283" s="39"/>
      <c r="G283" s="58">
        <v>1</v>
      </c>
      <c r="H283" s="53">
        <v>35</v>
      </c>
      <c r="I283" s="41">
        <f t="shared" si="4"/>
        <v>0</v>
      </c>
      <c r="J283" s="17"/>
      <c r="K283" s="17"/>
    </row>
    <row r="284" spans="1:11" ht="12.95" customHeight="1">
      <c r="A284" s="77"/>
      <c r="B284" s="62" t="s">
        <v>167</v>
      </c>
      <c r="C284" s="37"/>
      <c r="D284" s="54" t="s">
        <v>168</v>
      </c>
      <c r="E284" s="38">
        <v>919</v>
      </c>
      <c r="F284" s="55"/>
      <c r="G284" s="57">
        <v>8</v>
      </c>
      <c r="H284" s="53">
        <f>(14.7*Tabelle2[[#This Row],[ca. Anzahl
Titel pro Jahr]])</f>
        <v>117.6</v>
      </c>
      <c r="I284" s="41">
        <f t="shared" si="4"/>
        <v>0</v>
      </c>
      <c r="J284" s="17"/>
      <c r="K284" s="17"/>
    </row>
    <row r="285" spans="1:11" ht="12.95" customHeight="1">
      <c r="A285" s="77"/>
      <c r="B285" s="62" t="s">
        <v>169</v>
      </c>
      <c r="C285" s="37"/>
      <c r="D285" s="37" t="s">
        <v>60</v>
      </c>
      <c r="E285" s="38">
        <v>4979</v>
      </c>
      <c r="F285" s="39"/>
      <c r="G285" s="58">
        <v>2</v>
      </c>
      <c r="H285" s="53">
        <f>(26.9*Tabelle2[[#This Row],[ca. Anzahl
Titel pro Jahr]])</f>
        <v>53.8</v>
      </c>
      <c r="I285" s="41">
        <f t="shared" si="4"/>
        <v>0</v>
      </c>
      <c r="J285" s="17"/>
      <c r="K285" s="17"/>
    </row>
    <row r="286" spans="1:11" ht="12.95" customHeight="1">
      <c r="A286" s="77"/>
      <c r="B286" s="62" t="s">
        <v>170</v>
      </c>
      <c r="C286" s="37"/>
      <c r="D286" s="54" t="s">
        <v>171</v>
      </c>
      <c r="E286" s="38">
        <v>4270</v>
      </c>
      <c r="F286" s="55"/>
      <c r="G286" s="57">
        <v>10</v>
      </c>
      <c r="H286" s="53">
        <f>(18.7*Tabelle2[[#This Row],[ca. Anzahl
Titel pro Jahr]])</f>
        <v>187</v>
      </c>
      <c r="I286" s="41">
        <f t="shared" si="4"/>
        <v>0</v>
      </c>
      <c r="J286" s="17"/>
      <c r="K286" s="17"/>
    </row>
    <row r="287" spans="1:11" ht="12.95" customHeight="1">
      <c r="A287" s="77"/>
      <c r="B287" s="62" t="s">
        <v>174</v>
      </c>
      <c r="C287" s="37"/>
      <c r="D287" s="37" t="s">
        <v>15</v>
      </c>
      <c r="E287" s="38">
        <v>4790</v>
      </c>
      <c r="F287" s="39"/>
      <c r="G287" s="58">
        <v>2</v>
      </c>
      <c r="H287" s="53">
        <v>51.8</v>
      </c>
      <c r="I287" s="41">
        <f t="shared" si="4"/>
        <v>0</v>
      </c>
      <c r="J287" s="17"/>
      <c r="K287" s="17"/>
    </row>
    <row r="288" spans="1:11" ht="12.95" customHeight="1">
      <c r="A288" s="77"/>
      <c r="B288" s="62" t="s">
        <v>543</v>
      </c>
      <c r="C288" s="37"/>
      <c r="D288" s="54" t="s">
        <v>15</v>
      </c>
      <c r="E288" s="38">
        <v>5547</v>
      </c>
      <c r="F288" s="55"/>
      <c r="G288" s="57">
        <v>1</v>
      </c>
      <c r="H288" s="53">
        <f>(25.3*Tabelle2[[#This Row],[ca. Anzahl
Titel pro Jahr]])</f>
        <v>25.3</v>
      </c>
      <c r="I288" s="41">
        <f t="shared" si="4"/>
        <v>0</v>
      </c>
      <c r="J288" s="17"/>
      <c r="K288" s="17"/>
    </row>
    <row r="289" spans="1:11" ht="12.95" customHeight="1">
      <c r="A289" s="77"/>
      <c r="B289" s="62" t="s">
        <v>544</v>
      </c>
      <c r="C289" s="37"/>
      <c r="D289" s="37" t="s">
        <v>15</v>
      </c>
      <c r="E289" s="38">
        <v>5546</v>
      </c>
      <c r="F289" s="39"/>
      <c r="G289" s="58">
        <v>1</v>
      </c>
      <c r="H289" s="53">
        <v>28</v>
      </c>
      <c r="I289" s="41">
        <f t="shared" si="4"/>
        <v>0</v>
      </c>
      <c r="J289" s="17"/>
      <c r="K289" s="17"/>
    </row>
    <row r="290" spans="1:11" ht="12.95" customHeight="1">
      <c r="A290" s="77"/>
      <c r="B290" s="62" t="s">
        <v>429</v>
      </c>
      <c r="C290" s="37"/>
      <c r="D290" s="54" t="s">
        <v>15</v>
      </c>
      <c r="E290" s="38">
        <v>5318</v>
      </c>
      <c r="F290" s="55"/>
      <c r="G290" s="57">
        <v>1</v>
      </c>
      <c r="H290" s="53">
        <f>(25.3*Tabelle2[[#This Row],[ca. Anzahl
Titel pro Jahr]])</f>
        <v>25.3</v>
      </c>
      <c r="I290" s="41">
        <f t="shared" si="4"/>
        <v>0</v>
      </c>
      <c r="J290" s="17"/>
      <c r="K290" s="17"/>
    </row>
    <row r="291" spans="1:11" ht="12.95" customHeight="1">
      <c r="A291" s="77"/>
      <c r="B291" s="62" t="s">
        <v>991</v>
      </c>
      <c r="C291" s="37"/>
      <c r="D291" s="54" t="s">
        <v>992</v>
      </c>
      <c r="E291" s="38">
        <v>5971</v>
      </c>
      <c r="F291" s="55"/>
      <c r="G291" s="57">
        <v>3</v>
      </c>
      <c r="H291" s="53">
        <v>43.5</v>
      </c>
      <c r="I291" s="41">
        <f>A291*H291</f>
        <v>0</v>
      </c>
      <c r="J291" s="17"/>
      <c r="K291" s="17"/>
    </row>
    <row r="292" spans="1:11" ht="12.95" customHeight="1">
      <c r="A292" s="77"/>
      <c r="B292" s="62" t="s">
        <v>359</v>
      </c>
      <c r="C292" s="37"/>
      <c r="D292" s="54" t="s">
        <v>360</v>
      </c>
      <c r="E292" s="38">
        <v>5189</v>
      </c>
      <c r="F292" s="55"/>
      <c r="G292" s="57">
        <v>1</v>
      </c>
      <c r="H292" s="53">
        <f>(30.9*Tabelle2[[#This Row],[ca. Anzahl
Titel pro Jahr]])</f>
        <v>30.9</v>
      </c>
      <c r="I292" s="41">
        <f t="shared" si="4"/>
        <v>0</v>
      </c>
      <c r="J292" s="17"/>
      <c r="K292" s="17"/>
    </row>
    <row r="293" spans="1:11" ht="12.95" customHeight="1">
      <c r="A293" s="77"/>
      <c r="B293" s="62" t="s">
        <v>176</v>
      </c>
      <c r="C293" s="37"/>
      <c r="D293" s="37" t="s">
        <v>14</v>
      </c>
      <c r="E293" s="38">
        <v>4380</v>
      </c>
      <c r="F293" s="39" t="s">
        <v>18</v>
      </c>
      <c r="G293" s="58">
        <v>4</v>
      </c>
      <c r="H293" s="53">
        <v>58</v>
      </c>
      <c r="I293" s="41">
        <f t="shared" si="4"/>
        <v>0</v>
      </c>
      <c r="J293" s="17"/>
      <c r="K293" s="17"/>
    </row>
    <row r="294" spans="1:11" ht="12.95" customHeight="1">
      <c r="A294" s="77"/>
      <c r="B294" s="62" t="s">
        <v>177</v>
      </c>
      <c r="C294" s="37"/>
      <c r="D294" s="54" t="s">
        <v>14</v>
      </c>
      <c r="E294" s="38">
        <v>690</v>
      </c>
      <c r="F294" s="55" t="s">
        <v>96</v>
      </c>
      <c r="G294" s="57">
        <v>1</v>
      </c>
      <c r="H294" s="53">
        <f>(21.9*Tabelle2[[#This Row],[ca. Anzahl
Titel pro Jahr]])</f>
        <v>21.9</v>
      </c>
      <c r="I294" s="41">
        <f t="shared" si="4"/>
        <v>0</v>
      </c>
      <c r="J294" s="17"/>
      <c r="K294" s="17"/>
    </row>
    <row r="295" spans="1:11" ht="12.95" customHeight="1">
      <c r="A295" s="77"/>
      <c r="B295" s="62" t="s">
        <v>504</v>
      </c>
      <c r="C295" s="37"/>
      <c r="D295" s="37" t="s">
        <v>14</v>
      </c>
      <c r="E295" s="38">
        <v>5504</v>
      </c>
      <c r="F295" s="39"/>
      <c r="G295" s="58">
        <v>3</v>
      </c>
      <c r="H295" s="53">
        <f>(25.9*Tabelle2[[#This Row],[ca. Anzahl
Titel pro Jahr]])</f>
        <v>77.699999999999989</v>
      </c>
      <c r="I295" s="41">
        <f t="shared" si="4"/>
        <v>0</v>
      </c>
      <c r="J295" s="17"/>
      <c r="K295" s="17"/>
    </row>
    <row r="296" spans="1:11" ht="12.95" customHeight="1">
      <c r="A296" s="77"/>
      <c r="B296" s="62" t="s">
        <v>1056</v>
      </c>
      <c r="C296" s="37"/>
      <c r="D296" s="54" t="s">
        <v>14</v>
      </c>
      <c r="E296" s="38">
        <v>6030</v>
      </c>
      <c r="F296" s="55" t="s">
        <v>1057</v>
      </c>
      <c r="G296" s="58">
        <v>6</v>
      </c>
      <c r="H296" s="53">
        <v>143.4</v>
      </c>
      <c r="I296" s="41">
        <f>A296*H296</f>
        <v>0</v>
      </c>
      <c r="J296" s="17"/>
      <c r="K296" s="17"/>
    </row>
    <row r="297" spans="1:11" ht="12.95" customHeight="1">
      <c r="A297" s="77"/>
      <c r="B297" s="62" t="s">
        <v>452</v>
      </c>
      <c r="C297" s="37"/>
      <c r="D297" s="54" t="s">
        <v>14</v>
      </c>
      <c r="E297" s="38">
        <v>5203</v>
      </c>
      <c r="F297" s="55"/>
      <c r="G297" s="57">
        <v>2</v>
      </c>
      <c r="H297" s="53">
        <f>(17.3*Tabelle2[[#This Row],[ca. Anzahl
Titel pro Jahr]])</f>
        <v>34.6</v>
      </c>
      <c r="I297" s="41">
        <f t="shared" si="4"/>
        <v>0</v>
      </c>
      <c r="J297" s="17"/>
      <c r="K297" s="17"/>
    </row>
    <row r="298" spans="1:11" ht="12.95" customHeight="1">
      <c r="A298" s="77"/>
      <c r="B298" s="62" t="s">
        <v>456</v>
      </c>
      <c r="C298" s="37"/>
      <c r="D298" s="37" t="s">
        <v>152</v>
      </c>
      <c r="E298" s="38">
        <v>5444</v>
      </c>
      <c r="F298" s="39"/>
      <c r="G298" s="58">
        <v>1</v>
      </c>
      <c r="H298" s="53">
        <f>(24.3*Tabelle2[[#This Row],[ca. Anzahl
Titel pro Jahr]])</f>
        <v>24.3</v>
      </c>
      <c r="I298" s="41">
        <f t="shared" si="4"/>
        <v>0</v>
      </c>
      <c r="J298" s="17"/>
      <c r="K298" s="17"/>
    </row>
    <row r="299" spans="1:11" ht="12.95" customHeight="1">
      <c r="A299" s="77"/>
      <c r="B299" s="62" t="s">
        <v>178</v>
      </c>
      <c r="C299" s="37"/>
      <c r="D299" s="54" t="s">
        <v>15</v>
      </c>
      <c r="E299" s="38">
        <v>303</v>
      </c>
      <c r="F299" s="55" t="s">
        <v>51</v>
      </c>
      <c r="G299" s="57">
        <v>1</v>
      </c>
      <c r="H299" s="53">
        <f>(21.3*Tabelle2[[#This Row],[ca. Anzahl
Titel pro Jahr]])</f>
        <v>21.3</v>
      </c>
      <c r="I299" s="41">
        <f t="shared" si="4"/>
        <v>0</v>
      </c>
      <c r="J299" s="17"/>
      <c r="K299" s="17"/>
    </row>
    <row r="300" spans="1:11" ht="12.95" customHeight="1">
      <c r="A300" s="77"/>
      <c r="B300" s="62" t="s">
        <v>179</v>
      </c>
      <c r="C300" s="37"/>
      <c r="D300" s="37" t="s">
        <v>15</v>
      </c>
      <c r="E300" s="38">
        <v>925</v>
      </c>
      <c r="F300" s="39" t="s">
        <v>51</v>
      </c>
      <c r="G300" s="58">
        <v>2</v>
      </c>
      <c r="H300" s="53">
        <f>(17.3*Tabelle2[[#This Row],[ca. Anzahl
Titel pro Jahr]])</f>
        <v>34.6</v>
      </c>
      <c r="I300" s="41">
        <f t="shared" si="4"/>
        <v>0</v>
      </c>
      <c r="J300" s="17"/>
      <c r="K300" s="17"/>
    </row>
    <row r="301" spans="1:11" ht="12.95" customHeight="1">
      <c r="A301" s="77"/>
      <c r="B301" s="62" t="s">
        <v>499</v>
      </c>
      <c r="C301" s="37"/>
      <c r="D301" s="54" t="s">
        <v>15</v>
      </c>
      <c r="E301" s="38">
        <v>5487</v>
      </c>
      <c r="F301" s="55"/>
      <c r="G301" s="57">
        <v>1</v>
      </c>
      <c r="H301" s="53">
        <f>(28.3*Tabelle2[[#This Row],[ca. Anzahl
Titel pro Jahr]])</f>
        <v>28.3</v>
      </c>
      <c r="I301" s="41">
        <f t="shared" si="4"/>
        <v>0</v>
      </c>
      <c r="J301" s="17"/>
      <c r="K301" s="17"/>
    </row>
    <row r="302" spans="1:11" ht="12.95" customHeight="1">
      <c r="A302" s="77"/>
      <c r="B302" s="62" t="s">
        <v>180</v>
      </c>
      <c r="C302" s="37"/>
      <c r="D302" s="37" t="s">
        <v>15</v>
      </c>
      <c r="E302" s="38">
        <v>2393</v>
      </c>
      <c r="F302" s="39"/>
      <c r="G302" s="58">
        <v>2</v>
      </c>
      <c r="H302" s="53">
        <v>55.8</v>
      </c>
      <c r="I302" s="41">
        <f t="shared" si="4"/>
        <v>0</v>
      </c>
      <c r="J302" s="17"/>
      <c r="K302" s="17"/>
    </row>
    <row r="303" spans="1:11" ht="12.95" customHeight="1">
      <c r="A303" s="77"/>
      <c r="B303" s="62" t="s">
        <v>430</v>
      </c>
      <c r="C303" s="37"/>
      <c r="D303" s="54" t="s">
        <v>152</v>
      </c>
      <c r="E303" s="38">
        <v>5317</v>
      </c>
      <c r="F303" s="55"/>
      <c r="G303" s="57">
        <v>2</v>
      </c>
      <c r="H303" s="53">
        <f>(34.9*Tabelle2[[#This Row],[ca. Anzahl
Titel pro Jahr]])</f>
        <v>69.8</v>
      </c>
      <c r="I303" s="41">
        <f t="shared" si="4"/>
        <v>0</v>
      </c>
      <c r="J303" s="17"/>
      <c r="K303" s="17"/>
    </row>
    <row r="304" spans="1:11" ht="12.95" customHeight="1">
      <c r="A304" s="18"/>
      <c r="B304" s="64"/>
      <c r="C304" s="19"/>
      <c r="D304" s="19"/>
      <c r="E304" s="20"/>
      <c r="G304" s="25"/>
      <c r="H304" s="70"/>
      <c r="I304" s="22"/>
      <c r="J304" s="24"/>
      <c r="K304" s="24"/>
    </row>
    <row r="305" spans="1:11" ht="12.95" customHeight="1">
      <c r="A305" s="18"/>
      <c r="B305" s="64"/>
      <c r="C305" s="19"/>
      <c r="D305" s="19"/>
      <c r="E305" s="20"/>
      <c r="G305" s="25"/>
      <c r="H305" s="71" t="s">
        <v>340</v>
      </c>
      <c r="I305" s="35">
        <f>SUM(I270:I303)</f>
        <v>0</v>
      </c>
      <c r="J305" s="23"/>
      <c r="K305" s="24"/>
    </row>
    <row r="306" spans="1:11" ht="12.95" customHeight="1">
      <c r="A306" s="9"/>
      <c r="B306" s="64"/>
      <c r="C306" s="26"/>
      <c r="D306" s="26"/>
      <c r="E306" s="26"/>
      <c r="F306" s="9"/>
      <c r="G306" s="26"/>
      <c r="H306" s="67"/>
      <c r="I306" s="27"/>
      <c r="J306" s="27"/>
    </row>
    <row r="307" spans="1:11" ht="18" customHeight="1">
      <c r="A307" s="97" t="s">
        <v>1060</v>
      </c>
      <c r="B307" s="98"/>
      <c r="C307" s="98"/>
      <c r="D307" s="98"/>
      <c r="E307" s="98"/>
      <c r="F307" s="98"/>
      <c r="G307" s="98"/>
      <c r="H307" s="98"/>
      <c r="I307" s="98"/>
      <c r="J307" s="98"/>
      <c r="K307" s="99"/>
    </row>
    <row r="308" spans="1:11" s="16" customFormat="1" ht="49.5" customHeight="1">
      <c r="A308" s="29" t="s">
        <v>5</v>
      </c>
      <c r="B308" s="61" t="s">
        <v>6</v>
      </c>
      <c r="C308" s="74" t="s">
        <v>638</v>
      </c>
      <c r="D308" s="31" t="s">
        <v>7</v>
      </c>
      <c r="E308" s="32" t="s">
        <v>8</v>
      </c>
      <c r="F308" s="31" t="s">
        <v>9</v>
      </c>
      <c r="G308" s="33" t="s">
        <v>10</v>
      </c>
      <c r="H308" s="34" t="s">
        <v>11</v>
      </c>
      <c r="I308" s="33" t="s">
        <v>347</v>
      </c>
      <c r="J308" s="33" t="s">
        <v>12</v>
      </c>
      <c r="K308" s="33" t="s">
        <v>13</v>
      </c>
    </row>
    <row r="309" spans="1:11" ht="12.95" customHeight="1">
      <c r="A309" s="77"/>
      <c r="B309" s="62" t="s">
        <v>1017</v>
      </c>
      <c r="C309" s="37"/>
      <c r="D309" s="54" t="s">
        <v>17</v>
      </c>
      <c r="E309" s="38">
        <v>5989</v>
      </c>
      <c r="F309" s="55" t="s">
        <v>1018</v>
      </c>
      <c r="G309" s="42">
        <v>1</v>
      </c>
      <c r="H309" s="53">
        <v>21.5</v>
      </c>
      <c r="I309" s="41">
        <f>A309*H309</f>
        <v>0</v>
      </c>
      <c r="J309" s="17"/>
      <c r="K309" s="17"/>
    </row>
    <row r="310" spans="1:11" ht="12.95" customHeight="1">
      <c r="A310" s="77"/>
      <c r="B310" s="51" t="s">
        <v>181</v>
      </c>
      <c r="C310" s="37"/>
      <c r="D310" s="37" t="s">
        <v>60</v>
      </c>
      <c r="E310" s="38">
        <v>5043</v>
      </c>
      <c r="F310" s="39" t="s">
        <v>33</v>
      </c>
      <c r="G310" s="43">
        <v>1</v>
      </c>
      <c r="H310" s="53">
        <f>(21.9*Tabelle3[[#This Row],[ca. Anzahl
Titel pro Jahr]])</f>
        <v>21.9</v>
      </c>
      <c r="I310" s="41">
        <f t="shared" ref="I310:I336" si="5">A310*H310</f>
        <v>0</v>
      </c>
      <c r="J310" s="17"/>
      <c r="K310" s="17"/>
    </row>
    <row r="311" spans="1:11" ht="12.95" customHeight="1">
      <c r="A311" s="77"/>
      <c r="B311" s="51" t="s">
        <v>182</v>
      </c>
      <c r="C311" s="37"/>
      <c r="D311" s="37" t="s">
        <v>19</v>
      </c>
      <c r="E311" s="38">
        <v>2868</v>
      </c>
      <c r="F311" s="39" t="s">
        <v>25</v>
      </c>
      <c r="G311" s="42">
        <v>1</v>
      </c>
      <c r="H311" s="53">
        <f>(25.9*Tabelle3[[#This Row],[ca. Anzahl
Titel pro Jahr]])</f>
        <v>25.9</v>
      </c>
      <c r="I311" s="41">
        <f t="shared" si="5"/>
        <v>0</v>
      </c>
      <c r="J311" s="17"/>
      <c r="K311" s="17"/>
    </row>
    <row r="312" spans="1:11" ht="12.95" customHeight="1">
      <c r="A312" s="77"/>
      <c r="B312" s="62" t="s">
        <v>921</v>
      </c>
      <c r="C312" s="37"/>
      <c r="D312" s="54" t="s">
        <v>48</v>
      </c>
      <c r="E312" s="38">
        <v>5906</v>
      </c>
      <c r="F312" s="55" t="s">
        <v>890</v>
      </c>
      <c r="G312" s="42">
        <v>1</v>
      </c>
      <c r="H312" s="53">
        <v>21.5</v>
      </c>
      <c r="I312" s="41">
        <f>A312*H312</f>
        <v>0</v>
      </c>
      <c r="J312" s="17"/>
      <c r="K312" s="17"/>
    </row>
    <row r="313" spans="1:11" ht="12.95" customHeight="1">
      <c r="A313" s="77"/>
      <c r="B313" s="51" t="s">
        <v>379</v>
      </c>
      <c r="C313" s="37"/>
      <c r="D313" s="37" t="s">
        <v>142</v>
      </c>
      <c r="E313" s="38">
        <v>5206</v>
      </c>
      <c r="F313" s="39" t="s">
        <v>25</v>
      </c>
      <c r="G313" s="43">
        <v>1</v>
      </c>
      <c r="H313" s="53">
        <f>(22.9*Tabelle3[[#This Row],[ca. Anzahl
Titel pro Jahr]])</f>
        <v>22.9</v>
      </c>
      <c r="I313" s="41">
        <f t="shared" si="5"/>
        <v>0</v>
      </c>
      <c r="J313" s="17"/>
      <c r="K313" s="17"/>
    </row>
    <row r="314" spans="1:11" ht="12.95" customHeight="1">
      <c r="A314" s="77"/>
      <c r="B314" s="62" t="s">
        <v>1038</v>
      </c>
      <c r="C314" s="37"/>
      <c r="D314" s="54" t="s">
        <v>1039</v>
      </c>
      <c r="E314" s="38">
        <v>6012</v>
      </c>
      <c r="F314" s="55" t="s">
        <v>355</v>
      </c>
      <c r="G314" s="43">
        <v>2</v>
      </c>
      <c r="H314" s="53">
        <v>46</v>
      </c>
      <c r="I314" s="41">
        <f>A314*H314</f>
        <v>0</v>
      </c>
      <c r="J314" s="17"/>
      <c r="K314" s="17"/>
    </row>
    <row r="315" spans="1:11" ht="12.95" customHeight="1">
      <c r="A315" s="77"/>
      <c r="B315" s="51" t="s">
        <v>703</v>
      </c>
      <c r="C315" s="37"/>
      <c r="D315" s="37" t="s">
        <v>19</v>
      </c>
      <c r="E315" s="38">
        <v>5822</v>
      </c>
      <c r="F315" s="39" t="s">
        <v>458</v>
      </c>
      <c r="G315" s="43">
        <v>1</v>
      </c>
      <c r="H315" s="53">
        <f>(17.7*Tabelle3[[#This Row],[ca. Anzahl
Titel pro Jahr]])</f>
        <v>17.7</v>
      </c>
      <c r="I315" s="41">
        <f t="shared" si="5"/>
        <v>0</v>
      </c>
      <c r="J315" s="17"/>
      <c r="K315" s="17"/>
    </row>
    <row r="316" spans="1:11" ht="12.95" customHeight="1">
      <c r="A316" s="77"/>
      <c r="B316" s="51" t="s">
        <v>764</v>
      </c>
      <c r="C316" s="37"/>
      <c r="D316" s="37" t="s">
        <v>61</v>
      </c>
      <c r="E316" s="38">
        <v>5910</v>
      </c>
      <c r="F316" s="55" t="s">
        <v>878</v>
      </c>
      <c r="G316" s="43">
        <v>1</v>
      </c>
      <c r="H316" s="53">
        <v>14.9</v>
      </c>
      <c r="I316" s="41">
        <f t="shared" si="5"/>
        <v>0</v>
      </c>
      <c r="J316" s="17"/>
      <c r="K316" s="17"/>
    </row>
    <row r="317" spans="1:11" ht="12.95" customHeight="1">
      <c r="A317" s="77"/>
      <c r="B317" s="79" t="s">
        <v>687</v>
      </c>
      <c r="C317" s="37"/>
      <c r="D317" s="37" t="s">
        <v>516</v>
      </c>
      <c r="E317" s="38">
        <v>5774</v>
      </c>
      <c r="F317" s="39" t="s">
        <v>688</v>
      </c>
      <c r="G317" s="42">
        <v>1</v>
      </c>
      <c r="H317" s="53">
        <v>24.5</v>
      </c>
      <c r="I317" s="41">
        <f t="shared" si="5"/>
        <v>0</v>
      </c>
      <c r="J317" s="17"/>
      <c r="K317" s="17"/>
    </row>
    <row r="318" spans="1:11" ht="12.95" customHeight="1">
      <c r="A318" s="77"/>
      <c r="B318" s="51" t="s">
        <v>765</v>
      </c>
      <c r="C318" s="37"/>
      <c r="D318" s="37" t="s">
        <v>79</v>
      </c>
      <c r="E318" s="38">
        <v>5605</v>
      </c>
      <c r="F318" s="55" t="s">
        <v>560</v>
      </c>
      <c r="G318" s="43">
        <v>1</v>
      </c>
      <c r="H318" s="53">
        <v>17.5</v>
      </c>
      <c r="I318" s="41">
        <f t="shared" si="5"/>
        <v>0</v>
      </c>
      <c r="J318" s="17"/>
      <c r="K318" s="17"/>
    </row>
    <row r="319" spans="1:11" ht="12.95" customHeight="1">
      <c r="A319" s="77"/>
      <c r="B319" s="51" t="s">
        <v>601</v>
      </c>
      <c r="C319" s="37"/>
      <c r="D319" s="37" t="s">
        <v>31</v>
      </c>
      <c r="E319" s="38">
        <v>5667</v>
      </c>
      <c r="F319" s="39" t="s">
        <v>602</v>
      </c>
      <c r="G319" s="43">
        <v>1</v>
      </c>
      <c r="H319" s="53">
        <f>(Tabelle3[[#This Row],[ca. Anzahl
Titel pro Jahr]]*17.7)</f>
        <v>17.7</v>
      </c>
      <c r="I319" s="41">
        <f t="shared" si="5"/>
        <v>0</v>
      </c>
      <c r="J319" s="17"/>
      <c r="K319" s="17"/>
    </row>
    <row r="320" spans="1:11" ht="12.95" customHeight="1">
      <c r="A320" s="77"/>
      <c r="B320" s="62" t="s">
        <v>1014</v>
      </c>
      <c r="C320" s="37"/>
      <c r="D320" s="54" t="s">
        <v>19</v>
      </c>
      <c r="E320" s="38">
        <v>5987</v>
      </c>
      <c r="F320" s="55" t="s">
        <v>57</v>
      </c>
      <c r="G320" s="43">
        <v>3</v>
      </c>
      <c r="H320" s="53">
        <v>55.5</v>
      </c>
      <c r="I320" s="41">
        <f>A320*H320</f>
        <v>0</v>
      </c>
      <c r="J320" s="17"/>
      <c r="K320" s="17"/>
    </row>
    <row r="321" spans="1:11" ht="12.95" customHeight="1">
      <c r="A321" s="77"/>
      <c r="B321" s="51" t="s">
        <v>466</v>
      </c>
      <c r="C321" s="37"/>
      <c r="D321" s="37" t="s">
        <v>31</v>
      </c>
      <c r="E321" s="38">
        <v>5423</v>
      </c>
      <c r="F321" s="39" t="s">
        <v>81</v>
      </c>
      <c r="G321" s="43">
        <v>1</v>
      </c>
      <c r="H321" s="53">
        <v>22.9</v>
      </c>
      <c r="I321" s="41">
        <f t="shared" si="5"/>
        <v>0</v>
      </c>
      <c r="J321" s="17"/>
      <c r="K321" s="17"/>
    </row>
    <row r="322" spans="1:11" ht="12.95" customHeight="1">
      <c r="A322" s="77"/>
      <c r="B322" s="51" t="s">
        <v>766</v>
      </c>
      <c r="C322" s="37"/>
      <c r="D322" s="37" t="s">
        <v>17</v>
      </c>
      <c r="E322" s="38">
        <v>5737</v>
      </c>
      <c r="F322" s="55" t="s">
        <v>879</v>
      </c>
      <c r="G322" s="43">
        <v>1</v>
      </c>
      <c r="H322" s="53">
        <v>23.9</v>
      </c>
      <c r="I322" s="41">
        <f t="shared" si="5"/>
        <v>0</v>
      </c>
      <c r="J322" s="17"/>
      <c r="K322" s="17"/>
    </row>
    <row r="323" spans="1:11" ht="12.95" customHeight="1">
      <c r="A323" s="77"/>
      <c r="B323" s="51" t="s">
        <v>546</v>
      </c>
      <c r="C323" s="37"/>
      <c r="D323" s="37" t="s">
        <v>38</v>
      </c>
      <c r="E323" s="38">
        <v>5589</v>
      </c>
      <c r="F323" s="39" t="s">
        <v>355</v>
      </c>
      <c r="G323" s="42">
        <v>1</v>
      </c>
      <c r="H323" s="53">
        <v>26.9</v>
      </c>
      <c r="I323" s="41">
        <f t="shared" si="5"/>
        <v>0</v>
      </c>
      <c r="J323" s="17"/>
      <c r="K323" s="17"/>
    </row>
    <row r="324" spans="1:11" ht="12.95" customHeight="1">
      <c r="A324" s="77"/>
      <c r="B324" s="51" t="s">
        <v>480</v>
      </c>
      <c r="C324" s="37"/>
      <c r="D324" s="37" t="s">
        <v>187</v>
      </c>
      <c r="E324" s="38">
        <v>5058</v>
      </c>
      <c r="F324" s="39" t="s">
        <v>183</v>
      </c>
      <c r="G324" s="43">
        <v>2</v>
      </c>
      <c r="H324" s="53">
        <f>(Tabelle3[[#This Row],[ca. Anzahl
Titel pro Jahr]]*20.3)</f>
        <v>40.6</v>
      </c>
      <c r="I324" s="41">
        <f t="shared" si="5"/>
        <v>0</v>
      </c>
      <c r="J324" s="17"/>
      <c r="K324" s="17"/>
    </row>
    <row r="325" spans="1:11" ht="12.95" customHeight="1">
      <c r="A325" s="77"/>
      <c r="B325" s="51" t="s">
        <v>767</v>
      </c>
      <c r="C325" s="37"/>
      <c r="D325" s="37" t="s">
        <v>31</v>
      </c>
      <c r="E325" s="38">
        <v>5732</v>
      </c>
      <c r="F325" s="55" t="s">
        <v>355</v>
      </c>
      <c r="G325" s="43">
        <v>1</v>
      </c>
      <c r="H325" s="53">
        <v>20.5</v>
      </c>
      <c r="I325" s="41">
        <f t="shared" si="5"/>
        <v>0</v>
      </c>
      <c r="J325" s="17"/>
      <c r="K325" s="17"/>
    </row>
    <row r="326" spans="1:11" ht="12.95" customHeight="1">
      <c r="A326" s="77"/>
      <c r="B326" s="51" t="s">
        <v>467</v>
      </c>
      <c r="C326" s="37"/>
      <c r="D326" s="37" t="s">
        <v>142</v>
      </c>
      <c r="E326" s="38">
        <v>5419</v>
      </c>
      <c r="F326" s="39" t="s">
        <v>355</v>
      </c>
      <c r="G326" s="42">
        <v>1</v>
      </c>
      <c r="H326" s="53">
        <f>(Tabelle3[[#This Row],[ca. Anzahl
Titel pro Jahr]]*18.3)</f>
        <v>18.3</v>
      </c>
      <c r="I326" s="41">
        <f t="shared" si="5"/>
        <v>0</v>
      </c>
      <c r="J326" s="17"/>
      <c r="K326" s="17"/>
    </row>
    <row r="327" spans="1:11" ht="12.95" customHeight="1">
      <c r="A327" s="77"/>
      <c r="B327" s="51" t="s">
        <v>768</v>
      </c>
      <c r="C327" s="37"/>
      <c r="D327" s="37" t="s">
        <v>769</v>
      </c>
      <c r="E327" s="38">
        <v>5851</v>
      </c>
      <c r="F327" s="55" t="s">
        <v>880</v>
      </c>
      <c r="G327" s="43">
        <v>1</v>
      </c>
      <c r="H327" s="53">
        <v>27</v>
      </c>
      <c r="I327" s="41">
        <f t="shared" si="5"/>
        <v>0</v>
      </c>
      <c r="J327" s="17"/>
      <c r="K327" s="17"/>
    </row>
    <row r="328" spans="1:11" ht="12.95" customHeight="1">
      <c r="A328" s="77"/>
      <c r="B328" s="51" t="s">
        <v>382</v>
      </c>
      <c r="C328" s="37"/>
      <c r="D328" s="37" t="s">
        <v>77</v>
      </c>
      <c r="E328" s="38">
        <v>5253</v>
      </c>
      <c r="F328" s="39" t="s">
        <v>25</v>
      </c>
      <c r="G328" s="43">
        <v>1</v>
      </c>
      <c r="H328" s="53">
        <f>(Tabelle3[[#This Row],[ca. Anzahl
Titel pro Jahr]]*24.3)</f>
        <v>24.3</v>
      </c>
      <c r="I328" s="41">
        <f t="shared" si="5"/>
        <v>0</v>
      </c>
      <c r="J328" s="17"/>
      <c r="K328" s="17"/>
    </row>
    <row r="329" spans="1:11" ht="12.95" customHeight="1">
      <c r="A329" s="77"/>
      <c r="B329" s="51" t="s">
        <v>770</v>
      </c>
      <c r="C329" s="37"/>
      <c r="D329" s="37" t="s">
        <v>19</v>
      </c>
      <c r="E329" s="38">
        <v>5846</v>
      </c>
      <c r="F329" s="55" t="s">
        <v>596</v>
      </c>
      <c r="G329" s="42">
        <v>1</v>
      </c>
      <c r="H329" s="53">
        <v>22.9</v>
      </c>
      <c r="I329" s="41">
        <f t="shared" si="5"/>
        <v>0</v>
      </c>
      <c r="J329" s="17"/>
      <c r="K329" s="17"/>
    </row>
    <row r="330" spans="1:11" ht="12.95" customHeight="1">
      <c r="A330" s="77"/>
      <c r="B330" s="51" t="s">
        <v>189</v>
      </c>
      <c r="C330" s="37"/>
      <c r="D330" s="37" t="s">
        <v>17</v>
      </c>
      <c r="E330" s="38">
        <v>5041</v>
      </c>
      <c r="F330" s="39" t="s">
        <v>63</v>
      </c>
      <c r="G330" s="43">
        <v>1</v>
      </c>
      <c r="H330" s="53">
        <f>(Tabelle3[[#This Row],[ca. Anzahl
Titel pro Jahr]]*21.9)</f>
        <v>21.9</v>
      </c>
      <c r="I330" s="41">
        <f t="shared" si="5"/>
        <v>0</v>
      </c>
      <c r="J330" s="17"/>
      <c r="K330" s="17"/>
    </row>
    <row r="331" spans="1:11" ht="12.95" customHeight="1">
      <c r="A331" s="77"/>
      <c r="B331" s="51" t="s">
        <v>407</v>
      </c>
      <c r="C331" s="37"/>
      <c r="D331" s="37" t="s">
        <v>61</v>
      </c>
      <c r="E331" s="38">
        <v>5195</v>
      </c>
      <c r="F331" s="39" t="s">
        <v>57</v>
      </c>
      <c r="G331" s="43">
        <v>1</v>
      </c>
      <c r="H331" s="53">
        <f>(Tabelle3[[#This Row],[ca. Anzahl
Titel pro Jahr]]*20.3)</f>
        <v>20.3</v>
      </c>
      <c r="I331" s="41">
        <f t="shared" si="5"/>
        <v>0</v>
      </c>
      <c r="J331" s="17"/>
      <c r="K331" s="17"/>
    </row>
    <row r="332" spans="1:11" ht="12.95" customHeight="1">
      <c r="A332" s="77"/>
      <c r="B332" s="51" t="s">
        <v>771</v>
      </c>
      <c r="C332" s="37"/>
      <c r="D332" s="37" t="s">
        <v>38</v>
      </c>
      <c r="E332" s="38">
        <v>5592</v>
      </c>
      <c r="F332" s="55" t="s">
        <v>25</v>
      </c>
      <c r="G332" s="42">
        <v>1</v>
      </c>
      <c r="H332" s="53">
        <v>24.5</v>
      </c>
      <c r="I332" s="41">
        <f t="shared" si="5"/>
        <v>0</v>
      </c>
      <c r="J332" s="17"/>
      <c r="K332" s="17"/>
    </row>
    <row r="333" spans="1:11" ht="12.95" customHeight="1">
      <c r="A333" s="77"/>
      <c r="B333" s="51" t="s">
        <v>190</v>
      </c>
      <c r="C333" s="37"/>
      <c r="D333" s="37" t="s">
        <v>34</v>
      </c>
      <c r="E333" s="38">
        <v>566</v>
      </c>
      <c r="F333" s="39" t="s">
        <v>57</v>
      </c>
      <c r="G333" s="43">
        <v>6</v>
      </c>
      <c r="H333" s="53">
        <f>(Tabelle3[[#This Row],[ca. Anzahl
Titel pro Jahr]]*17.3)</f>
        <v>103.80000000000001</v>
      </c>
      <c r="I333" s="41">
        <f t="shared" si="5"/>
        <v>0</v>
      </c>
      <c r="J333" s="17"/>
      <c r="K333" s="17"/>
    </row>
    <row r="334" spans="1:11" ht="12.95" customHeight="1">
      <c r="A334" s="77"/>
      <c r="B334" s="51" t="s">
        <v>336</v>
      </c>
      <c r="C334" s="37"/>
      <c r="D334" s="37" t="s">
        <v>34</v>
      </c>
      <c r="E334" s="38">
        <v>5129</v>
      </c>
      <c r="F334" s="39" t="s">
        <v>57</v>
      </c>
      <c r="G334" s="43">
        <v>1</v>
      </c>
      <c r="H334" s="53">
        <f>(Tabelle3[[#This Row],[ca. Anzahl
Titel pro Jahr]]*17.3)</f>
        <v>17.3</v>
      </c>
      <c r="I334" s="41">
        <f t="shared" si="5"/>
        <v>0</v>
      </c>
      <c r="J334" s="17"/>
      <c r="K334" s="17"/>
    </row>
    <row r="335" spans="1:11" ht="12.95" customHeight="1">
      <c r="A335" s="77"/>
      <c r="B335" s="51" t="s">
        <v>191</v>
      </c>
      <c r="C335" s="37"/>
      <c r="D335" s="37" t="s">
        <v>34</v>
      </c>
      <c r="E335" s="38">
        <v>32</v>
      </c>
      <c r="F335" s="39" t="s">
        <v>57</v>
      </c>
      <c r="G335" s="43">
        <v>3</v>
      </c>
      <c r="H335" s="53">
        <f>(Tabelle3[[#This Row],[ca. Anzahl
Titel pro Jahr]]*14.7)</f>
        <v>44.099999999999994</v>
      </c>
      <c r="I335" s="41">
        <f t="shared" si="5"/>
        <v>0</v>
      </c>
      <c r="J335" s="17"/>
      <c r="K335" s="17"/>
    </row>
    <row r="336" spans="1:11" ht="12.95" customHeight="1">
      <c r="A336" s="77"/>
      <c r="B336" s="51" t="s">
        <v>192</v>
      </c>
      <c r="C336" s="37"/>
      <c r="D336" s="37" t="s">
        <v>31</v>
      </c>
      <c r="E336" s="38">
        <v>4666</v>
      </c>
      <c r="F336" s="39" t="s">
        <v>57</v>
      </c>
      <c r="G336" s="43">
        <v>1</v>
      </c>
      <c r="H336" s="53">
        <f>(Tabelle3[[#This Row],[ca. Anzahl
Titel pro Jahr]]*10.7)</f>
        <v>10.7</v>
      </c>
      <c r="I336" s="41">
        <f t="shared" si="5"/>
        <v>0</v>
      </c>
      <c r="J336" s="17"/>
      <c r="K336" s="17"/>
    </row>
    <row r="337" spans="1:11" ht="12.95" customHeight="1">
      <c r="A337" s="77"/>
      <c r="B337" s="51" t="s">
        <v>636</v>
      </c>
      <c r="C337" s="37"/>
      <c r="D337" s="37" t="s">
        <v>34</v>
      </c>
      <c r="E337" s="38">
        <v>3002</v>
      </c>
      <c r="F337" s="39" t="s">
        <v>57</v>
      </c>
      <c r="G337" s="42">
        <v>1</v>
      </c>
      <c r="H337" s="53">
        <f>(Tabelle3[[#This Row],[ca. Anzahl
Titel pro Jahr]]*16.3)</f>
        <v>16.3</v>
      </c>
      <c r="I337" s="41">
        <f t="shared" ref="I337:I369" si="6">A337*H337</f>
        <v>0</v>
      </c>
      <c r="J337" s="17"/>
      <c r="K337" s="17"/>
    </row>
    <row r="338" spans="1:11" ht="12.95" customHeight="1">
      <c r="A338" s="77"/>
      <c r="B338" s="51" t="s">
        <v>509</v>
      </c>
      <c r="C338" s="37"/>
      <c r="D338" s="37" t="s">
        <v>34</v>
      </c>
      <c r="E338" s="38">
        <v>5505</v>
      </c>
      <c r="F338" s="39" t="s">
        <v>57</v>
      </c>
      <c r="G338" s="43">
        <v>1</v>
      </c>
      <c r="H338" s="53">
        <f>(Tabelle3[[#This Row],[ca. Anzahl
Titel pro Jahr]]*21.9)</f>
        <v>21.9</v>
      </c>
      <c r="I338" s="41">
        <f t="shared" si="6"/>
        <v>0</v>
      </c>
      <c r="J338" s="17"/>
      <c r="K338" s="17"/>
    </row>
    <row r="339" spans="1:11" ht="12.95" customHeight="1">
      <c r="A339" s="77"/>
      <c r="B339" s="51" t="s">
        <v>193</v>
      </c>
      <c r="C339" s="37"/>
      <c r="D339" s="37" t="s">
        <v>19</v>
      </c>
      <c r="E339" s="38">
        <v>3088</v>
      </c>
      <c r="F339" s="39" t="s">
        <v>25</v>
      </c>
      <c r="G339" s="43">
        <v>1</v>
      </c>
      <c r="H339" s="53">
        <f>(Tabelle3[[#This Row],[ca. Anzahl
Titel pro Jahr]]*22.9)</f>
        <v>22.9</v>
      </c>
      <c r="I339" s="41">
        <f t="shared" si="6"/>
        <v>0</v>
      </c>
      <c r="J339" s="17"/>
      <c r="K339" s="17"/>
    </row>
    <row r="340" spans="1:11" ht="12.95" customHeight="1">
      <c r="A340" s="77"/>
      <c r="B340" s="51" t="s">
        <v>772</v>
      </c>
      <c r="C340" s="37"/>
      <c r="D340" s="37" t="s">
        <v>32</v>
      </c>
      <c r="E340" s="38">
        <v>5901</v>
      </c>
      <c r="F340" s="55" t="s">
        <v>860</v>
      </c>
      <c r="G340" s="42">
        <v>1</v>
      </c>
      <c r="H340" s="53">
        <v>20.5</v>
      </c>
      <c r="I340" s="41">
        <f t="shared" si="6"/>
        <v>0</v>
      </c>
      <c r="J340" s="17"/>
      <c r="K340" s="17"/>
    </row>
    <row r="341" spans="1:11" ht="12.95" customHeight="1">
      <c r="A341" s="77"/>
      <c r="B341" s="51" t="s">
        <v>773</v>
      </c>
      <c r="C341" s="37"/>
      <c r="D341" s="37" t="s">
        <v>65</v>
      </c>
      <c r="E341" s="38">
        <v>5776</v>
      </c>
      <c r="F341" s="55" t="s">
        <v>881</v>
      </c>
      <c r="G341" s="43">
        <v>1</v>
      </c>
      <c r="H341" s="53">
        <v>21.5</v>
      </c>
      <c r="I341" s="41">
        <f t="shared" si="6"/>
        <v>0</v>
      </c>
      <c r="J341" s="17"/>
      <c r="K341" s="17"/>
    </row>
    <row r="342" spans="1:11" ht="12.95" customHeight="1">
      <c r="A342" s="77"/>
      <c r="B342" s="51" t="s">
        <v>774</v>
      </c>
      <c r="C342" s="37"/>
      <c r="D342" s="37" t="s">
        <v>58</v>
      </c>
      <c r="E342" s="38">
        <v>5735</v>
      </c>
      <c r="F342" s="55" t="s">
        <v>428</v>
      </c>
      <c r="G342" s="43">
        <v>1</v>
      </c>
      <c r="H342" s="53">
        <v>22.9</v>
      </c>
      <c r="I342" s="41">
        <f t="shared" si="6"/>
        <v>0</v>
      </c>
      <c r="J342" s="17"/>
      <c r="K342" s="17"/>
    </row>
    <row r="343" spans="1:11" ht="12.95" customHeight="1">
      <c r="A343" s="77"/>
      <c r="B343" s="51" t="s">
        <v>775</v>
      </c>
      <c r="C343" s="37"/>
      <c r="D343" s="37" t="s">
        <v>776</v>
      </c>
      <c r="E343" s="38">
        <v>5900</v>
      </c>
      <c r="F343" s="55" t="s">
        <v>25</v>
      </c>
      <c r="G343" s="42">
        <v>2</v>
      </c>
      <c r="H343" s="53">
        <v>37</v>
      </c>
      <c r="I343" s="41">
        <f t="shared" si="6"/>
        <v>0</v>
      </c>
      <c r="J343" s="17"/>
      <c r="K343" s="17"/>
    </row>
    <row r="344" spans="1:11" ht="12.95" customHeight="1">
      <c r="A344" s="77"/>
      <c r="B344" s="51" t="s">
        <v>194</v>
      </c>
      <c r="C344" s="37"/>
      <c r="D344" s="37" t="s">
        <v>195</v>
      </c>
      <c r="E344" s="38">
        <v>324</v>
      </c>
      <c r="F344" s="39" t="s">
        <v>404</v>
      </c>
      <c r="G344" s="43">
        <v>1</v>
      </c>
      <c r="H344" s="53">
        <v>21.5</v>
      </c>
      <c r="I344" s="41">
        <f t="shared" si="6"/>
        <v>0</v>
      </c>
      <c r="J344" s="17"/>
      <c r="K344" s="17"/>
    </row>
    <row r="345" spans="1:11" ht="12.95" customHeight="1">
      <c r="A345" s="77"/>
      <c r="B345" s="51" t="s">
        <v>353</v>
      </c>
      <c r="C345" s="37"/>
      <c r="D345" s="37" t="s">
        <v>17</v>
      </c>
      <c r="E345" s="38">
        <v>5178</v>
      </c>
      <c r="F345" s="39" t="s">
        <v>354</v>
      </c>
      <c r="G345" s="42">
        <v>1</v>
      </c>
      <c r="H345" s="53">
        <f>(Tabelle3[[#This Row],[ca. Anzahl
Titel pro Jahr]]*21.9)</f>
        <v>21.9</v>
      </c>
      <c r="I345" s="41">
        <f t="shared" si="6"/>
        <v>0</v>
      </c>
      <c r="J345" s="17"/>
      <c r="K345" s="17"/>
    </row>
    <row r="346" spans="1:11" ht="12.95" customHeight="1">
      <c r="A346" s="77"/>
      <c r="B346" s="51" t="s">
        <v>777</v>
      </c>
      <c r="C346" s="37"/>
      <c r="D346" s="37" t="s">
        <v>759</v>
      </c>
      <c r="E346" s="38">
        <v>5849</v>
      </c>
      <c r="F346" s="55" t="s">
        <v>882</v>
      </c>
      <c r="G346" s="43">
        <v>2</v>
      </c>
      <c r="H346" s="53">
        <v>35</v>
      </c>
      <c r="I346" s="41">
        <f t="shared" si="6"/>
        <v>0</v>
      </c>
      <c r="J346" s="17"/>
      <c r="K346" s="17"/>
    </row>
    <row r="347" spans="1:11" ht="12.95" customHeight="1">
      <c r="A347" s="77"/>
      <c r="B347" s="51" t="s">
        <v>778</v>
      </c>
      <c r="C347" s="37"/>
      <c r="D347" s="37" t="s">
        <v>65</v>
      </c>
      <c r="E347" s="38">
        <v>5733</v>
      </c>
      <c r="F347" s="55" t="s">
        <v>133</v>
      </c>
      <c r="G347" s="43">
        <v>2</v>
      </c>
      <c r="H347" s="53">
        <v>49</v>
      </c>
      <c r="I347" s="41">
        <f t="shared" si="6"/>
        <v>0</v>
      </c>
      <c r="J347" s="17"/>
      <c r="K347" s="17"/>
    </row>
    <row r="348" spans="1:11" ht="12.95" customHeight="1">
      <c r="A348" s="77"/>
      <c r="B348" s="51" t="s">
        <v>465</v>
      </c>
      <c r="C348" s="37"/>
      <c r="D348" s="37" t="s">
        <v>398</v>
      </c>
      <c r="E348" s="38">
        <v>5430</v>
      </c>
      <c r="F348" s="39" t="s">
        <v>76</v>
      </c>
      <c r="G348" s="42">
        <v>2</v>
      </c>
      <c r="H348" s="53">
        <f>(Tabelle3[[#This Row],[ca. Anzahl
Titel pro Jahr]]*21.9)</f>
        <v>43.8</v>
      </c>
      <c r="I348" s="41">
        <f t="shared" si="6"/>
        <v>0</v>
      </c>
      <c r="J348" s="17"/>
      <c r="K348" s="17"/>
    </row>
    <row r="349" spans="1:11" ht="12.95" customHeight="1">
      <c r="A349" s="77"/>
      <c r="B349" s="51" t="s">
        <v>196</v>
      </c>
      <c r="C349" s="37"/>
      <c r="D349" s="37" t="s">
        <v>31</v>
      </c>
      <c r="E349" s="38">
        <v>2343</v>
      </c>
      <c r="F349" s="39" t="s">
        <v>25</v>
      </c>
      <c r="G349" s="43">
        <v>1</v>
      </c>
      <c r="H349" s="53">
        <v>20.5</v>
      </c>
      <c r="I349" s="41">
        <f t="shared" si="6"/>
        <v>0</v>
      </c>
      <c r="J349" s="17"/>
      <c r="K349" s="17"/>
    </row>
    <row r="350" spans="1:11" ht="12.95" customHeight="1">
      <c r="A350" s="77"/>
      <c r="B350" s="51" t="s">
        <v>197</v>
      </c>
      <c r="C350" s="37"/>
      <c r="D350" s="37" t="s">
        <v>31</v>
      </c>
      <c r="E350" s="38">
        <v>4115</v>
      </c>
      <c r="F350" s="39" t="s">
        <v>25</v>
      </c>
      <c r="G350" s="43">
        <v>1</v>
      </c>
      <c r="H350" s="53">
        <v>20.5</v>
      </c>
      <c r="I350" s="41">
        <f t="shared" si="6"/>
        <v>0</v>
      </c>
      <c r="J350" s="17"/>
      <c r="K350" s="17"/>
    </row>
    <row r="351" spans="1:11" ht="12.95" customHeight="1">
      <c r="A351" s="77"/>
      <c r="B351" s="62" t="s">
        <v>945</v>
      </c>
      <c r="C351" s="37"/>
      <c r="D351" s="54" t="s">
        <v>946</v>
      </c>
      <c r="E351" s="38">
        <v>5965</v>
      </c>
      <c r="F351" s="55" t="s">
        <v>947</v>
      </c>
      <c r="G351" s="43">
        <v>1</v>
      </c>
      <c r="H351" s="53">
        <v>20.5</v>
      </c>
      <c r="I351" s="41">
        <f>A351*H351</f>
        <v>0</v>
      </c>
      <c r="J351" s="17"/>
      <c r="K351" s="17"/>
    </row>
    <row r="352" spans="1:11" ht="12.95" customHeight="1">
      <c r="A352" s="77"/>
      <c r="B352" s="62" t="s">
        <v>943</v>
      </c>
      <c r="C352" s="37"/>
      <c r="D352" s="54" t="s">
        <v>88</v>
      </c>
      <c r="E352" s="38">
        <v>5940</v>
      </c>
      <c r="F352" s="55" t="s">
        <v>944</v>
      </c>
      <c r="G352" s="43">
        <v>2</v>
      </c>
      <c r="H352" s="53">
        <v>35</v>
      </c>
      <c r="I352" s="41">
        <f>A352*H352</f>
        <v>0</v>
      </c>
      <c r="J352" s="17"/>
      <c r="K352" s="17"/>
    </row>
    <row r="353" spans="1:11" ht="12.95" customHeight="1">
      <c r="A353" s="77"/>
      <c r="B353" s="51" t="s">
        <v>779</v>
      </c>
      <c r="C353" s="37"/>
      <c r="D353" s="37" t="s">
        <v>34</v>
      </c>
      <c r="E353" s="38">
        <v>5857</v>
      </c>
      <c r="F353" s="55" t="s">
        <v>695</v>
      </c>
      <c r="G353" s="43">
        <v>4</v>
      </c>
      <c r="H353" s="53">
        <v>67.599999999999994</v>
      </c>
      <c r="I353" s="41">
        <f t="shared" si="6"/>
        <v>0</v>
      </c>
      <c r="J353" s="17"/>
      <c r="K353" s="17"/>
    </row>
    <row r="354" spans="1:11" ht="12.95" customHeight="1">
      <c r="A354" s="77"/>
      <c r="B354" s="51" t="s">
        <v>198</v>
      </c>
      <c r="C354" s="37"/>
      <c r="D354" s="37" t="s">
        <v>31</v>
      </c>
      <c r="E354" s="38">
        <v>4640</v>
      </c>
      <c r="F354" s="39" t="s">
        <v>25</v>
      </c>
      <c r="G354" s="43">
        <v>1</v>
      </c>
      <c r="H354" s="53">
        <v>21.5</v>
      </c>
      <c r="I354" s="41">
        <f t="shared" si="6"/>
        <v>0</v>
      </c>
      <c r="J354" s="17"/>
      <c r="K354" s="17"/>
    </row>
    <row r="355" spans="1:11" ht="12.95" customHeight="1">
      <c r="A355" s="77"/>
      <c r="B355" s="51" t="s">
        <v>637</v>
      </c>
      <c r="C355" s="37"/>
      <c r="D355" s="37" t="s">
        <v>61</v>
      </c>
      <c r="E355" s="38">
        <v>5561</v>
      </c>
      <c r="F355" s="39" t="s">
        <v>547</v>
      </c>
      <c r="G355" s="42">
        <v>1</v>
      </c>
      <c r="H355" s="53">
        <f>(Tabelle3[[#This Row],[ca. Anzahl
Titel pro Jahr]]*18.7)</f>
        <v>18.7</v>
      </c>
      <c r="I355" s="41">
        <f t="shared" si="6"/>
        <v>0</v>
      </c>
      <c r="J355" s="17"/>
      <c r="K355" s="17"/>
    </row>
    <row r="356" spans="1:11" ht="12.95" customHeight="1">
      <c r="A356" s="77"/>
      <c r="B356" s="51" t="s">
        <v>199</v>
      </c>
      <c r="C356" s="37"/>
      <c r="D356" s="37" t="s">
        <v>39</v>
      </c>
      <c r="E356" s="38">
        <v>2214</v>
      </c>
      <c r="F356" s="39" t="s">
        <v>200</v>
      </c>
      <c r="G356" s="43">
        <v>1</v>
      </c>
      <c r="H356" s="53">
        <f>(Tabelle3[[#This Row],[ca. Anzahl
Titel pro Jahr]]*20.3)</f>
        <v>20.3</v>
      </c>
      <c r="I356" s="41">
        <f t="shared" si="6"/>
        <v>0</v>
      </c>
      <c r="J356" s="17"/>
      <c r="K356" s="17"/>
    </row>
    <row r="357" spans="1:11" ht="12.95" customHeight="1">
      <c r="A357" s="77"/>
      <c r="B357" s="51" t="s">
        <v>780</v>
      </c>
      <c r="C357" s="37"/>
      <c r="D357" s="37" t="s">
        <v>55</v>
      </c>
      <c r="E357" s="38">
        <v>5831</v>
      </c>
      <c r="F357" s="55" t="s">
        <v>860</v>
      </c>
      <c r="G357" s="43">
        <v>3</v>
      </c>
      <c r="H357" s="53">
        <v>55.5</v>
      </c>
      <c r="I357" s="41">
        <f t="shared" si="6"/>
        <v>0</v>
      </c>
      <c r="J357" s="17"/>
      <c r="K357" s="17"/>
    </row>
    <row r="358" spans="1:11" ht="12.95" customHeight="1">
      <c r="A358" s="77"/>
      <c r="B358" s="51" t="s">
        <v>605</v>
      </c>
      <c r="C358" s="37"/>
      <c r="D358" s="37" t="s">
        <v>17</v>
      </c>
      <c r="E358" s="38">
        <v>5679</v>
      </c>
      <c r="F358" s="39" t="s">
        <v>25</v>
      </c>
      <c r="G358" s="42">
        <v>2</v>
      </c>
      <c r="H358" s="53">
        <f>(Tabelle3[[#This Row],[ca. Anzahl
Titel pro Jahr]]*21.9)</f>
        <v>43.8</v>
      </c>
      <c r="I358" s="41">
        <f t="shared" si="6"/>
        <v>0</v>
      </c>
      <c r="J358" s="17"/>
      <c r="K358" s="17"/>
    </row>
    <row r="359" spans="1:11" ht="12.95" customHeight="1">
      <c r="A359" s="77"/>
      <c r="B359" s="51" t="s">
        <v>201</v>
      </c>
      <c r="C359" s="37"/>
      <c r="D359" s="37" t="s">
        <v>50</v>
      </c>
      <c r="E359" s="38">
        <v>4583</v>
      </c>
      <c r="F359" s="39" t="s">
        <v>202</v>
      </c>
      <c r="G359" s="43">
        <v>1</v>
      </c>
      <c r="H359" s="53">
        <f>(Tabelle3[[#This Row],[ca. Anzahl
Titel pro Jahr]]*14.7)</f>
        <v>14.7</v>
      </c>
      <c r="I359" s="41">
        <f t="shared" si="6"/>
        <v>0</v>
      </c>
      <c r="J359" s="17"/>
      <c r="K359" s="17"/>
    </row>
    <row r="360" spans="1:11" ht="12.95" customHeight="1">
      <c r="A360" s="77"/>
      <c r="B360" s="51" t="s">
        <v>510</v>
      </c>
      <c r="C360" s="37"/>
      <c r="D360" s="37" t="s">
        <v>210</v>
      </c>
      <c r="E360" s="38">
        <v>5524</v>
      </c>
      <c r="F360" s="39" t="s">
        <v>511</v>
      </c>
      <c r="G360" s="43">
        <v>1</v>
      </c>
      <c r="H360" s="53">
        <f>(Tabelle3[[#This Row],[ca. Anzahl
Titel pro Jahr]]*25.9)</f>
        <v>25.9</v>
      </c>
      <c r="I360" s="41">
        <f t="shared" si="6"/>
        <v>0</v>
      </c>
      <c r="J360" s="17"/>
      <c r="K360" s="17"/>
    </row>
    <row r="361" spans="1:11" ht="12.95" customHeight="1">
      <c r="A361" s="77"/>
      <c r="B361" s="51" t="s">
        <v>781</v>
      </c>
      <c r="C361" s="37"/>
      <c r="D361" s="37" t="s">
        <v>107</v>
      </c>
      <c r="E361" s="38">
        <v>5729</v>
      </c>
      <c r="F361" s="55" t="s">
        <v>883</v>
      </c>
      <c r="G361" s="42">
        <v>2</v>
      </c>
      <c r="H361" s="53">
        <v>41</v>
      </c>
      <c r="I361" s="41">
        <f t="shared" si="6"/>
        <v>0</v>
      </c>
      <c r="J361" s="17"/>
      <c r="K361" s="17"/>
    </row>
    <row r="362" spans="1:11" ht="12.95" customHeight="1">
      <c r="A362" s="77"/>
      <c r="B362" s="51" t="s">
        <v>203</v>
      </c>
      <c r="C362" s="37"/>
      <c r="D362" s="37" t="s">
        <v>204</v>
      </c>
      <c r="E362" s="38">
        <v>4486</v>
      </c>
      <c r="F362" s="39" t="s">
        <v>404</v>
      </c>
      <c r="G362" s="43">
        <v>1</v>
      </c>
      <c r="H362" s="53">
        <f>(Tabelle3[[#This Row],[ca. Anzahl
Titel pro Jahr]]*28.7)</f>
        <v>28.7</v>
      </c>
      <c r="I362" s="41">
        <f t="shared" si="6"/>
        <v>0</v>
      </c>
      <c r="J362" s="17"/>
      <c r="K362" s="17"/>
    </row>
    <row r="363" spans="1:11" ht="12.95" customHeight="1">
      <c r="A363" s="77"/>
      <c r="B363" s="51" t="s">
        <v>392</v>
      </c>
      <c r="C363" s="37"/>
      <c r="D363" s="37" t="s">
        <v>88</v>
      </c>
      <c r="E363" s="38">
        <v>5143</v>
      </c>
      <c r="F363" s="39" t="s">
        <v>337</v>
      </c>
      <c r="G363" s="43">
        <v>1</v>
      </c>
      <c r="H363" s="53">
        <f>(Tabelle3[[#This Row],[ca. Anzahl
Titel pro Jahr]]*21.9)</f>
        <v>21.9</v>
      </c>
      <c r="I363" s="41">
        <f t="shared" si="6"/>
        <v>0</v>
      </c>
      <c r="J363" s="17"/>
      <c r="K363" s="17"/>
    </row>
    <row r="364" spans="1:11" ht="12.95" customHeight="1">
      <c r="A364" s="77"/>
      <c r="B364" s="51" t="s">
        <v>393</v>
      </c>
      <c r="C364" s="37"/>
      <c r="D364" s="37" t="s">
        <v>247</v>
      </c>
      <c r="E364" s="38">
        <v>5145</v>
      </c>
      <c r="F364" s="39" t="s">
        <v>338</v>
      </c>
      <c r="G364" s="42">
        <v>1</v>
      </c>
      <c r="H364" s="53">
        <f>(Tabelle3[[#This Row],[ca. Anzahl
Titel pro Jahr]]*25.3)</f>
        <v>25.3</v>
      </c>
      <c r="I364" s="41">
        <f t="shared" si="6"/>
        <v>0</v>
      </c>
      <c r="J364" s="17"/>
      <c r="K364" s="17"/>
    </row>
    <row r="365" spans="1:11" ht="12.95" customHeight="1">
      <c r="A365" s="77"/>
      <c r="B365" s="51" t="s">
        <v>782</v>
      </c>
      <c r="C365" s="37"/>
      <c r="D365" s="37" t="s">
        <v>378</v>
      </c>
      <c r="E365" s="38">
        <v>5882</v>
      </c>
      <c r="F365" s="55" t="s">
        <v>884</v>
      </c>
      <c r="G365" s="43">
        <v>2</v>
      </c>
      <c r="H365" s="53">
        <v>45.8</v>
      </c>
      <c r="I365" s="41">
        <f t="shared" si="6"/>
        <v>0</v>
      </c>
      <c r="J365" s="17"/>
      <c r="K365" s="17"/>
    </row>
    <row r="366" spans="1:11" ht="12.95" customHeight="1">
      <c r="A366" s="77"/>
      <c r="B366" s="51" t="s">
        <v>783</v>
      </c>
      <c r="C366" s="37"/>
      <c r="D366" s="37" t="s">
        <v>88</v>
      </c>
      <c r="E366" s="38">
        <v>2186</v>
      </c>
      <c r="F366" s="55" t="s">
        <v>133</v>
      </c>
      <c r="G366" s="43">
        <v>1</v>
      </c>
      <c r="H366" s="53">
        <v>18.5</v>
      </c>
      <c r="I366" s="41">
        <f t="shared" si="6"/>
        <v>0</v>
      </c>
      <c r="J366" s="17"/>
      <c r="K366" s="17"/>
    </row>
    <row r="367" spans="1:11" ht="12.95" customHeight="1">
      <c r="A367" s="77"/>
      <c r="B367" s="62" t="s">
        <v>955</v>
      </c>
      <c r="C367" s="37"/>
      <c r="D367" s="54" t="s">
        <v>67</v>
      </c>
      <c r="E367" s="38">
        <v>5925</v>
      </c>
      <c r="F367" s="55" t="s">
        <v>25</v>
      </c>
      <c r="G367" s="43">
        <v>2</v>
      </c>
      <c r="H367" s="53">
        <v>37</v>
      </c>
      <c r="I367" s="41">
        <f>A367*H367</f>
        <v>0</v>
      </c>
      <c r="J367" s="17"/>
      <c r="K367" s="17"/>
    </row>
    <row r="368" spans="1:11" ht="12.95" customHeight="1">
      <c r="A368" s="77"/>
      <c r="B368" s="51" t="s">
        <v>431</v>
      </c>
      <c r="C368" s="37"/>
      <c r="D368" s="37" t="s">
        <v>32</v>
      </c>
      <c r="E368" s="38">
        <v>5327</v>
      </c>
      <c r="F368" s="39" t="s">
        <v>25</v>
      </c>
      <c r="G368" s="42">
        <v>1</v>
      </c>
      <c r="H368" s="53">
        <f>(Tabelle3[[#This Row],[ca. Anzahl
Titel pro Jahr]]*21.9)</f>
        <v>21.9</v>
      </c>
      <c r="I368" s="41">
        <f t="shared" si="6"/>
        <v>0</v>
      </c>
      <c r="J368" s="17"/>
      <c r="K368" s="17"/>
    </row>
    <row r="369" spans="1:11" ht="12.95" customHeight="1">
      <c r="A369" s="77"/>
      <c r="B369" s="51" t="s">
        <v>432</v>
      </c>
      <c r="C369" s="37"/>
      <c r="D369" s="37" t="s">
        <v>31</v>
      </c>
      <c r="E369" s="38">
        <v>5307</v>
      </c>
      <c r="F369" s="39" t="s">
        <v>350</v>
      </c>
      <c r="G369" s="43">
        <v>1</v>
      </c>
      <c r="H369" s="53">
        <v>20.5</v>
      </c>
      <c r="I369" s="41">
        <f t="shared" si="6"/>
        <v>0</v>
      </c>
      <c r="J369" s="17"/>
      <c r="K369" s="17"/>
    </row>
    <row r="370" spans="1:11" ht="12.95" customHeight="1">
      <c r="A370" s="77"/>
      <c r="B370" s="51" t="s">
        <v>548</v>
      </c>
      <c r="C370" s="37"/>
      <c r="D370" s="37" t="s">
        <v>88</v>
      </c>
      <c r="E370" s="38">
        <v>5590</v>
      </c>
      <c r="F370" s="39" t="s">
        <v>549</v>
      </c>
      <c r="G370" s="42">
        <v>1</v>
      </c>
      <c r="H370" s="53">
        <f>(Tabelle3[[#This Row],[ca. Anzahl
Titel pro Jahr]]*17.3)</f>
        <v>17.3</v>
      </c>
      <c r="I370" s="41">
        <f t="shared" ref="I370:I402" si="7">A370*H370</f>
        <v>0</v>
      </c>
      <c r="J370" s="17"/>
      <c r="K370" s="17"/>
    </row>
    <row r="371" spans="1:11" ht="12.95" customHeight="1">
      <c r="A371" s="77"/>
      <c r="B371" s="51" t="s">
        <v>453</v>
      </c>
      <c r="C371" s="37"/>
      <c r="D371" s="37" t="s">
        <v>37</v>
      </c>
      <c r="E371" s="38">
        <v>5040</v>
      </c>
      <c r="F371" s="39" t="s">
        <v>25</v>
      </c>
      <c r="G371" s="43">
        <v>2</v>
      </c>
      <c r="H371" s="53">
        <f>(Tabelle3[[#This Row],[ca. Anzahl
Titel pro Jahr]]*21.9)</f>
        <v>43.8</v>
      </c>
      <c r="I371" s="41">
        <f t="shared" si="7"/>
        <v>0</v>
      </c>
      <c r="J371" s="17"/>
      <c r="K371" s="17"/>
    </row>
    <row r="372" spans="1:11" ht="12.95" customHeight="1">
      <c r="A372" s="77"/>
      <c r="B372" s="62" t="s">
        <v>960</v>
      </c>
      <c r="C372" s="37"/>
      <c r="D372" s="54" t="s">
        <v>32</v>
      </c>
      <c r="E372" s="38">
        <v>5927</v>
      </c>
      <c r="F372" s="55" t="s">
        <v>25</v>
      </c>
      <c r="G372" s="43">
        <v>1</v>
      </c>
      <c r="H372" s="53">
        <v>22.9</v>
      </c>
      <c r="I372" s="41">
        <f>A372*H372</f>
        <v>0</v>
      </c>
      <c r="J372" s="17"/>
      <c r="K372" s="17"/>
    </row>
    <row r="373" spans="1:11" ht="12.95" customHeight="1">
      <c r="A373" s="77"/>
      <c r="B373" s="51" t="s">
        <v>550</v>
      </c>
      <c r="C373" s="37"/>
      <c r="D373" s="37" t="s">
        <v>31</v>
      </c>
      <c r="E373" s="38">
        <v>5564</v>
      </c>
      <c r="F373" s="39" t="s">
        <v>91</v>
      </c>
      <c r="G373" s="43">
        <v>1</v>
      </c>
      <c r="H373" s="53">
        <v>18.5</v>
      </c>
      <c r="I373" s="41">
        <f t="shared" si="7"/>
        <v>0</v>
      </c>
      <c r="J373" s="17"/>
      <c r="K373" s="17"/>
    </row>
    <row r="374" spans="1:11" ht="12.95" customHeight="1">
      <c r="A374" s="77"/>
      <c r="B374" s="51" t="s">
        <v>652</v>
      </c>
      <c r="C374" s="37"/>
      <c r="D374" s="37" t="s">
        <v>61</v>
      </c>
      <c r="E374" s="38">
        <v>5759</v>
      </c>
      <c r="F374" s="39" t="s">
        <v>653</v>
      </c>
      <c r="G374" s="42">
        <v>1</v>
      </c>
      <c r="H374" s="53">
        <f>(Tabelle3[[#This Row],[ca. Anzahl
Titel pro Jahr]]*21.9)</f>
        <v>21.9</v>
      </c>
      <c r="I374" s="41">
        <f t="shared" si="7"/>
        <v>0</v>
      </c>
      <c r="J374" s="17"/>
      <c r="K374" s="17"/>
    </row>
    <row r="375" spans="1:11" ht="12.95" customHeight="1">
      <c r="A375" s="77"/>
      <c r="B375" s="51" t="s">
        <v>512</v>
      </c>
      <c r="C375" s="37"/>
      <c r="D375" s="37" t="s">
        <v>17</v>
      </c>
      <c r="E375" s="38">
        <v>5523</v>
      </c>
      <c r="F375" s="39" t="s">
        <v>133</v>
      </c>
      <c r="G375" s="43">
        <v>1</v>
      </c>
      <c r="H375" s="53">
        <f>(Tabelle3[[#This Row],[ca. Anzahl
Titel pro Jahr]]*20.3)</f>
        <v>20.3</v>
      </c>
      <c r="I375" s="41">
        <f t="shared" si="7"/>
        <v>0</v>
      </c>
      <c r="J375" s="17"/>
      <c r="K375" s="17"/>
    </row>
    <row r="376" spans="1:11" ht="12.95" customHeight="1">
      <c r="A376" s="77"/>
      <c r="B376" s="51" t="s">
        <v>786</v>
      </c>
      <c r="C376" s="37"/>
      <c r="D376" s="37" t="s">
        <v>38</v>
      </c>
      <c r="E376" s="38">
        <v>5899</v>
      </c>
      <c r="F376" s="55" t="s">
        <v>334</v>
      </c>
      <c r="G376" s="42">
        <v>2</v>
      </c>
      <c r="H376" s="53">
        <v>41</v>
      </c>
      <c r="I376" s="41">
        <f t="shared" si="7"/>
        <v>0</v>
      </c>
      <c r="J376" s="17"/>
      <c r="K376" s="17"/>
    </row>
    <row r="377" spans="1:11" ht="12.95" customHeight="1">
      <c r="A377" s="77"/>
      <c r="B377" s="51" t="s">
        <v>500</v>
      </c>
      <c r="C377" s="37"/>
      <c r="D377" s="37" t="s">
        <v>35</v>
      </c>
      <c r="E377" s="38">
        <v>5492</v>
      </c>
      <c r="F377" s="39" t="s">
        <v>501</v>
      </c>
      <c r="G377" s="43">
        <v>1</v>
      </c>
      <c r="H377" s="53">
        <f>(Tabelle3[[#This Row],[ca. Anzahl
Titel pro Jahr]]*21.9)</f>
        <v>21.9</v>
      </c>
      <c r="I377" s="41">
        <f t="shared" si="7"/>
        <v>0</v>
      </c>
      <c r="J377" s="17"/>
      <c r="K377" s="17"/>
    </row>
    <row r="378" spans="1:11" ht="12.95" customHeight="1">
      <c r="A378" s="77"/>
      <c r="B378" s="62" t="s">
        <v>787</v>
      </c>
      <c r="C378" s="37"/>
      <c r="D378" s="37" t="s">
        <v>67</v>
      </c>
      <c r="E378" s="38">
        <v>5739</v>
      </c>
      <c r="F378" s="55" t="s">
        <v>885</v>
      </c>
      <c r="G378" s="43">
        <v>1</v>
      </c>
      <c r="H378" s="53">
        <v>25.5</v>
      </c>
      <c r="I378" s="41">
        <f t="shared" si="7"/>
        <v>0</v>
      </c>
      <c r="J378" s="17"/>
      <c r="K378" s="17"/>
    </row>
    <row r="379" spans="1:11" ht="12.95" customHeight="1">
      <c r="A379" s="77"/>
      <c r="B379" s="51" t="s">
        <v>205</v>
      </c>
      <c r="C379" s="37"/>
      <c r="D379" s="37" t="s">
        <v>32</v>
      </c>
      <c r="E379" s="38">
        <v>1130</v>
      </c>
      <c r="F379" s="39" t="s">
        <v>186</v>
      </c>
      <c r="G379" s="43">
        <v>1</v>
      </c>
      <c r="H379" s="53">
        <f>(Tabelle3[[#This Row],[ca. Anzahl
Titel pro Jahr]]*22.9)</f>
        <v>22.9</v>
      </c>
      <c r="I379" s="41">
        <f t="shared" si="7"/>
        <v>0</v>
      </c>
      <c r="J379" s="17"/>
      <c r="K379" s="17"/>
    </row>
    <row r="380" spans="1:11" ht="12.95" customHeight="1">
      <c r="A380" s="77"/>
      <c r="B380" s="51" t="s">
        <v>206</v>
      </c>
      <c r="C380" s="37"/>
      <c r="D380" s="37" t="s">
        <v>207</v>
      </c>
      <c r="E380" s="38">
        <v>4760</v>
      </c>
      <c r="F380" s="39" t="s">
        <v>183</v>
      </c>
      <c r="G380" s="42">
        <v>1</v>
      </c>
      <c r="H380" s="53">
        <f>(Tabelle3[[#This Row],[ca. Anzahl
Titel pro Jahr]]*20.3)</f>
        <v>20.3</v>
      </c>
      <c r="I380" s="41">
        <f t="shared" si="7"/>
        <v>0</v>
      </c>
      <c r="J380" s="17"/>
      <c r="K380" s="17"/>
    </row>
    <row r="381" spans="1:11" ht="12.95" customHeight="1">
      <c r="A381" s="77"/>
      <c r="B381" s="51" t="s">
        <v>528</v>
      </c>
      <c r="C381" s="37"/>
      <c r="D381" s="37" t="s">
        <v>32</v>
      </c>
      <c r="E381" s="38">
        <v>5403</v>
      </c>
      <c r="F381" s="39" t="s">
        <v>57</v>
      </c>
      <c r="G381" s="43">
        <v>1</v>
      </c>
      <c r="H381" s="53">
        <v>18.5</v>
      </c>
      <c r="I381" s="41">
        <f t="shared" si="7"/>
        <v>0</v>
      </c>
      <c r="J381" s="17"/>
      <c r="K381" s="17"/>
    </row>
    <row r="382" spans="1:11" ht="12.95" customHeight="1">
      <c r="A382" s="77"/>
      <c r="B382" s="51" t="s">
        <v>788</v>
      </c>
      <c r="C382" s="37"/>
      <c r="D382" s="37" t="s">
        <v>19</v>
      </c>
      <c r="E382" s="38">
        <v>5731</v>
      </c>
      <c r="F382" s="55" t="s">
        <v>356</v>
      </c>
      <c r="G382" s="43">
        <v>1</v>
      </c>
      <c r="H382" s="53">
        <v>20.5</v>
      </c>
      <c r="I382" s="41">
        <f t="shared" si="7"/>
        <v>0</v>
      </c>
      <c r="J382" s="17"/>
      <c r="K382" s="17"/>
    </row>
    <row r="383" spans="1:11" ht="12.95" customHeight="1">
      <c r="A383" s="77"/>
      <c r="B383" s="51" t="s">
        <v>654</v>
      </c>
      <c r="C383" s="37"/>
      <c r="D383" s="37" t="s">
        <v>655</v>
      </c>
      <c r="E383" s="38">
        <v>5758</v>
      </c>
      <c r="F383" s="39" t="s">
        <v>185</v>
      </c>
      <c r="G383" s="42">
        <v>1</v>
      </c>
      <c r="H383" s="53">
        <v>21.5</v>
      </c>
      <c r="I383" s="41">
        <f t="shared" si="7"/>
        <v>0</v>
      </c>
      <c r="J383" s="17"/>
      <c r="K383" s="17"/>
    </row>
    <row r="384" spans="1:11" ht="12.95" customHeight="1">
      <c r="A384" s="77"/>
      <c r="B384" s="51" t="s">
        <v>789</v>
      </c>
      <c r="C384" s="37"/>
      <c r="D384" s="37" t="s">
        <v>60</v>
      </c>
      <c r="E384" s="38">
        <v>5736</v>
      </c>
      <c r="F384" s="55" t="s">
        <v>334</v>
      </c>
      <c r="G384" s="43">
        <v>1</v>
      </c>
      <c r="H384" s="53">
        <v>18.5</v>
      </c>
      <c r="I384" s="41">
        <f t="shared" si="7"/>
        <v>0</v>
      </c>
      <c r="J384" s="17"/>
      <c r="K384" s="17"/>
    </row>
    <row r="385" spans="1:11" ht="12.95" customHeight="1">
      <c r="A385" s="77"/>
      <c r="B385" s="51" t="s">
        <v>790</v>
      </c>
      <c r="C385" s="37"/>
      <c r="D385" s="37" t="s">
        <v>759</v>
      </c>
      <c r="E385" s="38">
        <v>5898</v>
      </c>
      <c r="F385" s="55" t="s">
        <v>428</v>
      </c>
      <c r="G385" s="43">
        <v>2</v>
      </c>
      <c r="H385" s="53">
        <v>45</v>
      </c>
      <c r="I385" s="41">
        <f t="shared" si="7"/>
        <v>0</v>
      </c>
      <c r="J385" s="17"/>
      <c r="K385" s="17"/>
    </row>
    <row r="386" spans="1:11" ht="12.95" customHeight="1">
      <c r="A386" s="77"/>
      <c r="B386" s="51" t="s">
        <v>791</v>
      </c>
      <c r="C386" s="37"/>
      <c r="D386" s="37" t="s">
        <v>58</v>
      </c>
      <c r="E386" s="38">
        <v>5641</v>
      </c>
      <c r="F386" s="55" t="s">
        <v>131</v>
      </c>
      <c r="G386" s="42">
        <v>1</v>
      </c>
      <c r="H386" s="53">
        <v>18.5</v>
      </c>
      <c r="I386" s="41">
        <f t="shared" si="7"/>
        <v>0</v>
      </c>
      <c r="J386" s="17"/>
      <c r="K386" s="17"/>
    </row>
    <row r="387" spans="1:11" ht="12.95" customHeight="1">
      <c r="A387" s="77"/>
      <c r="B387" s="51" t="s">
        <v>394</v>
      </c>
      <c r="C387" s="37"/>
      <c r="D387" s="37" t="s">
        <v>38</v>
      </c>
      <c r="E387" s="38">
        <v>5146</v>
      </c>
      <c r="F387" s="39" t="s">
        <v>25</v>
      </c>
      <c r="G387" s="43">
        <v>1</v>
      </c>
      <c r="H387" s="53">
        <v>28.5</v>
      </c>
      <c r="I387" s="41">
        <f t="shared" si="7"/>
        <v>0</v>
      </c>
      <c r="J387" s="17"/>
      <c r="K387" s="17"/>
    </row>
    <row r="388" spans="1:11" ht="12.95" customHeight="1">
      <c r="A388" s="77"/>
      <c r="B388" s="51" t="s">
        <v>513</v>
      </c>
      <c r="C388" s="37"/>
      <c r="D388" s="37" t="s">
        <v>26</v>
      </c>
      <c r="E388" s="38">
        <v>5519</v>
      </c>
      <c r="F388" s="39" t="s">
        <v>514</v>
      </c>
      <c r="G388" s="43">
        <v>1</v>
      </c>
      <c r="H388" s="53">
        <v>17.5</v>
      </c>
      <c r="I388" s="41">
        <f t="shared" si="7"/>
        <v>0</v>
      </c>
      <c r="J388" s="17"/>
      <c r="K388" s="17"/>
    </row>
    <row r="389" spans="1:11" ht="12.95" customHeight="1">
      <c r="A389" s="77"/>
      <c r="B389" s="51" t="s">
        <v>208</v>
      </c>
      <c r="C389" s="37"/>
      <c r="D389" s="37" t="s">
        <v>17</v>
      </c>
      <c r="E389" s="38">
        <v>4967</v>
      </c>
      <c r="F389" s="39" t="s">
        <v>209</v>
      </c>
      <c r="G389" s="42">
        <v>1</v>
      </c>
      <c r="H389" s="53">
        <v>18.5</v>
      </c>
      <c r="I389" s="41">
        <f t="shared" si="7"/>
        <v>0</v>
      </c>
      <c r="J389" s="17"/>
      <c r="K389" s="17"/>
    </row>
    <row r="390" spans="1:11" ht="12.95" customHeight="1">
      <c r="A390" s="77"/>
      <c r="B390" s="51" t="s">
        <v>463</v>
      </c>
      <c r="C390" s="37"/>
      <c r="D390" s="37" t="s">
        <v>19</v>
      </c>
      <c r="E390" s="38">
        <v>5434</v>
      </c>
      <c r="F390" s="39" t="s">
        <v>469</v>
      </c>
      <c r="G390" s="43">
        <v>4</v>
      </c>
      <c r="H390" s="53">
        <v>86</v>
      </c>
      <c r="I390" s="41">
        <f t="shared" si="7"/>
        <v>0</v>
      </c>
      <c r="J390" s="17"/>
      <c r="K390" s="17"/>
    </row>
    <row r="391" spans="1:11" ht="12.95" customHeight="1">
      <c r="A391" s="77"/>
      <c r="B391" s="51" t="s">
        <v>604</v>
      </c>
      <c r="C391" s="37"/>
      <c r="D391" s="37" t="s">
        <v>61</v>
      </c>
      <c r="E391" s="38">
        <v>5669</v>
      </c>
      <c r="F391" s="39" t="s">
        <v>458</v>
      </c>
      <c r="G391" s="43">
        <v>1</v>
      </c>
      <c r="H391" s="53">
        <v>18.5</v>
      </c>
      <c r="I391" s="41">
        <f t="shared" si="7"/>
        <v>0</v>
      </c>
      <c r="J391" s="17"/>
      <c r="K391" s="17"/>
    </row>
    <row r="392" spans="1:11" ht="12.95" customHeight="1">
      <c r="A392" s="77"/>
      <c r="B392" s="51" t="s">
        <v>332</v>
      </c>
      <c r="C392" s="37"/>
      <c r="D392" s="37" t="s">
        <v>58</v>
      </c>
      <c r="E392" s="38">
        <v>5053</v>
      </c>
      <c r="F392" s="39" t="s">
        <v>25</v>
      </c>
      <c r="G392" s="42">
        <v>1</v>
      </c>
      <c r="H392" s="53">
        <v>21.5</v>
      </c>
      <c r="I392" s="41">
        <f t="shared" si="7"/>
        <v>0</v>
      </c>
      <c r="J392" s="17"/>
      <c r="K392" s="17"/>
    </row>
    <row r="393" spans="1:11" ht="12.95" customHeight="1">
      <c r="A393" s="77"/>
      <c r="B393" s="62" t="s">
        <v>976</v>
      </c>
      <c r="C393" s="37"/>
      <c r="D393" s="54" t="s">
        <v>17</v>
      </c>
      <c r="E393" s="38">
        <v>5603</v>
      </c>
      <c r="F393" s="55" t="s">
        <v>977</v>
      </c>
      <c r="G393" s="42">
        <v>1</v>
      </c>
      <c r="H393" s="53">
        <v>21.5</v>
      </c>
      <c r="I393" s="41">
        <f>A393*H393</f>
        <v>0</v>
      </c>
      <c r="J393" s="17"/>
      <c r="K393" s="17"/>
    </row>
    <row r="394" spans="1:11" ht="12.95" customHeight="1">
      <c r="A394" s="77"/>
      <c r="B394" s="51" t="s">
        <v>515</v>
      </c>
      <c r="C394" s="37"/>
      <c r="D394" s="37" t="s">
        <v>516</v>
      </c>
      <c r="E394" s="38">
        <v>5509</v>
      </c>
      <c r="F394" s="39" t="s">
        <v>458</v>
      </c>
      <c r="G394" s="43">
        <v>1</v>
      </c>
      <c r="H394" s="53">
        <v>21.5</v>
      </c>
      <c r="I394" s="41">
        <f t="shared" si="7"/>
        <v>0</v>
      </c>
      <c r="J394" s="17"/>
      <c r="K394" s="17"/>
    </row>
    <row r="395" spans="1:11" ht="12.95" customHeight="1">
      <c r="A395" s="77"/>
      <c r="B395" s="51" t="s">
        <v>383</v>
      </c>
      <c r="C395" s="37"/>
      <c r="D395" s="37" t="s">
        <v>384</v>
      </c>
      <c r="E395" s="38">
        <v>5248</v>
      </c>
      <c r="F395" s="39" t="s">
        <v>131</v>
      </c>
      <c r="G395" s="42">
        <v>4</v>
      </c>
      <c r="H395" s="53">
        <f>(Tabelle3[[#This Row],[ca. Anzahl
Titel pro Jahr]]*20.3)</f>
        <v>81.2</v>
      </c>
      <c r="I395" s="41">
        <f t="shared" si="7"/>
        <v>0</v>
      </c>
      <c r="J395" s="17"/>
      <c r="K395" s="17"/>
    </row>
    <row r="396" spans="1:11" ht="12.95" customHeight="1">
      <c r="A396" s="77"/>
      <c r="B396" s="51" t="s">
        <v>464</v>
      </c>
      <c r="C396" s="37"/>
      <c r="D396" s="37" t="s">
        <v>22</v>
      </c>
      <c r="E396" s="38">
        <v>5431</v>
      </c>
      <c r="F396" s="39" t="s">
        <v>25</v>
      </c>
      <c r="G396" s="43">
        <v>1</v>
      </c>
      <c r="H396" s="53">
        <v>18.5</v>
      </c>
      <c r="I396" s="41">
        <f t="shared" si="7"/>
        <v>0</v>
      </c>
      <c r="J396" s="17"/>
      <c r="K396" s="17"/>
    </row>
    <row r="397" spans="1:11" ht="12.95" customHeight="1">
      <c r="A397" s="77"/>
      <c r="B397" s="51" t="s">
        <v>211</v>
      </c>
      <c r="C397" s="37"/>
      <c r="D397" s="37" t="s">
        <v>17</v>
      </c>
      <c r="E397" s="38">
        <v>4385</v>
      </c>
      <c r="F397" s="39" t="s">
        <v>21</v>
      </c>
      <c r="G397" s="43">
        <v>1</v>
      </c>
      <c r="H397" s="53">
        <v>21.5</v>
      </c>
      <c r="I397" s="41">
        <f t="shared" si="7"/>
        <v>0</v>
      </c>
      <c r="J397" s="17"/>
      <c r="K397" s="17"/>
    </row>
    <row r="398" spans="1:11" ht="12.95" customHeight="1">
      <c r="A398" s="77"/>
      <c r="B398" s="51" t="s">
        <v>793</v>
      </c>
      <c r="C398" s="37"/>
      <c r="D398" s="37" t="s">
        <v>50</v>
      </c>
      <c r="E398" s="38">
        <v>5730</v>
      </c>
      <c r="F398" s="55" t="s">
        <v>558</v>
      </c>
      <c r="G398" s="42">
        <v>1</v>
      </c>
      <c r="H398" s="53">
        <v>20.5</v>
      </c>
      <c r="I398" s="41">
        <f t="shared" si="7"/>
        <v>0</v>
      </c>
      <c r="J398" s="17"/>
      <c r="K398" s="17"/>
    </row>
    <row r="399" spans="1:11" ht="12.95" customHeight="1">
      <c r="A399" s="77"/>
      <c r="B399" s="62" t="s">
        <v>1032</v>
      </c>
      <c r="C399" s="37"/>
      <c r="D399" s="54" t="s">
        <v>31</v>
      </c>
      <c r="E399" s="38">
        <v>6003</v>
      </c>
      <c r="F399" s="55" t="s">
        <v>367</v>
      </c>
      <c r="G399" s="42">
        <v>1</v>
      </c>
      <c r="H399" s="53">
        <v>17.5</v>
      </c>
      <c r="I399" s="41">
        <f>A399*H399</f>
        <v>0</v>
      </c>
      <c r="J399" s="17"/>
      <c r="K399" s="17"/>
    </row>
    <row r="400" spans="1:11" ht="12.95" customHeight="1">
      <c r="A400" s="77"/>
      <c r="B400" s="51" t="s">
        <v>794</v>
      </c>
      <c r="C400" s="37"/>
      <c r="D400" s="37" t="s">
        <v>43</v>
      </c>
      <c r="E400" s="38">
        <v>5616</v>
      </c>
      <c r="F400" s="55" t="s">
        <v>355</v>
      </c>
      <c r="G400" s="43">
        <v>1</v>
      </c>
      <c r="H400" s="53">
        <v>22.9</v>
      </c>
      <c r="I400" s="41">
        <f t="shared" si="7"/>
        <v>0</v>
      </c>
      <c r="J400" s="17"/>
      <c r="K400" s="17"/>
    </row>
    <row r="401" spans="1:11" ht="12.95" customHeight="1">
      <c r="A401" s="77"/>
      <c r="B401" s="51" t="s">
        <v>212</v>
      </c>
      <c r="C401" s="37"/>
      <c r="D401" s="37" t="s">
        <v>45</v>
      </c>
      <c r="E401" s="38">
        <v>2190</v>
      </c>
      <c r="F401" s="39" t="s">
        <v>184</v>
      </c>
      <c r="G401" s="43">
        <v>2</v>
      </c>
      <c r="H401" s="53">
        <v>37</v>
      </c>
      <c r="I401" s="41">
        <f t="shared" si="7"/>
        <v>0</v>
      </c>
      <c r="J401" s="17"/>
      <c r="K401" s="17"/>
    </row>
    <row r="402" spans="1:11" ht="12.95" customHeight="1">
      <c r="A402" s="77"/>
      <c r="B402" s="51" t="s">
        <v>377</v>
      </c>
      <c r="C402" s="37"/>
      <c r="D402" s="37" t="s">
        <v>378</v>
      </c>
      <c r="E402" s="38">
        <v>5223</v>
      </c>
      <c r="F402" s="39" t="s">
        <v>185</v>
      </c>
      <c r="G402" s="42">
        <v>2</v>
      </c>
      <c r="H402" s="53">
        <f>(Tabelle3[[#This Row],[ca. Anzahl
Titel pro Jahr]]*22.9)</f>
        <v>45.8</v>
      </c>
      <c r="I402" s="41">
        <f t="shared" si="7"/>
        <v>0</v>
      </c>
      <c r="J402" s="17"/>
      <c r="K402" s="17"/>
    </row>
    <row r="403" spans="1:11" ht="12.95" customHeight="1">
      <c r="A403" s="77"/>
      <c r="B403" s="51" t="s">
        <v>795</v>
      </c>
      <c r="C403" s="37"/>
      <c r="D403" s="37" t="s">
        <v>61</v>
      </c>
      <c r="E403" s="38">
        <v>5734</v>
      </c>
      <c r="F403" s="55" t="s">
        <v>885</v>
      </c>
      <c r="G403" s="43">
        <v>1</v>
      </c>
      <c r="H403" s="53">
        <v>22.9</v>
      </c>
      <c r="I403" s="41">
        <f t="shared" ref="I403:I408" si="8">A403*H403</f>
        <v>0</v>
      </c>
      <c r="J403" s="17"/>
      <c r="K403" s="17"/>
    </row>
    <row r="404" spans="1:11" ht="12.95" customHeight="1">
      <c r="A404" s="77"/>
      <c r="B404" s="51" t="s">
        <v>796</v>
      </c>
      <c r="C404" s="37"/>
      <c r="D404" s="37" t="s">
        <v>50</v>
      </c>
      <c r="E404" s="38">
        <v>5642</v>
      </c>
      <c r="F404" s="55" t="s">
        <v>886</v>
      </c>
      <c r="G404" s="43">
        <v>1</v>
      </c>
      <c r="H404" s="53">
        <v>22.9</v>
      </c>
      <c r="I404" s="41">
        <f t="shared" si="8"/>
        <v>0</v>
      </c>
      <c r="J404" s="17"/>
      <c r="K404" s="17"/>
    </row>
    <row r="405" spans="1:11" ht="12.95" customHeight="1">
      <c r="A405" s="77"/>
      <c r="B405" s="51" t="s">
        <v>213</v>
      </c>
      <c r="C405" s="37"/>
      <c r="D405" s="37" t="s">
        <v>48</v>
      </c>
      <c r="E405" s="38">
        <v>2703</v>
      </c>
      <c r="F405" s="39" t="s">
        <v>133</v>
      </c>
      <c r="G405" s="42">
        <v>1</v>
      </c>
      <c r="H405" s="53">
        <f>(Tabelle3[[#This Row],[ca. Anzahl
Titel pro Jahr]]*21.9)</f>
        <v>21.9</v>
      </c>
      <c r="I405" s="41">
        <f t="shared" si="8"/>
        <v>0</v>
      </c>
      <c r="J405" s="17"/>
      <c r="K405" s="17"/>
    </row>
    <row r="406" spans="1:11" ht="12.95" customHeight="1">
      <c r="A406" s="77"/>
      <c r="B406" s="51" t="s">
        <v>551</v>
      </c>
      <c r="C406" s="37"/>
      <c r="D406" s="37" t="s">
        <v>61</v>
      </c>
      <c r="E406" s="38">
        <v>5588</v>
      </c>
      <c r="F406" s="39" t="s">
        <v>552</v>
      </c>
      <c r="G406" s="43">
        <v>1</v>
      </c>
      <c r="H406" s="53">
        <f>(Tabelle3[[#This Row],[ca. Anzahl
Titel pro Jahr]]*18.7)</f>
        <v>18.7</v>
      </c>
      <c r="I406" s="41">
        <f t="shared" si="8"/>
        <v>0</v>
      </c>
      <c r="J406" s="17"/>
      <c r="K406" s="17"/>
    </row>
    <row r="407" spans="1:11" ht="12.95" customHeight="1">
      <c r="A407" s="77"/>
      <c r="B407" s="51" t="s">
        <v>523</v>
      </c>
      <c r="C407" s="37"/>
      <c r="D407" s="37" t="s">
        <v>52</v>
      </c>
      <c r="E407" s="38">
        <v>5388</v>
      </c>
      <c r="F407" s="39" t="s">
        <v>470</v>
      </c>
      <c r="G407" s="43">
        <v>1</v>
      </c>
      <c r="H407" s="53">
        <f>(Tabelle3[[#This Row],[ca. Anzahl
Titel pro Jahr]]*22.9)</f>
        <v>22.9</v>
      </c>
      <c r="I407" s="41">
        <f t="shared" si="8"/>
        <v>0</v>
      </c>
      <c r="J407" s="17"/>
      <c r="K407" s="17"/>
    </row>
    <row r="408" spans="1:11" ht="12.95" customHeight="1">
      <c r="A408" s="77"/>
      <c r="B408" s="51" t="s">
        <v>214</v>
      </c>
      <c r="C408" s="37"/>
      <c r="D408" s="37" t="s">
        <v>55</v>
      </c>
      <c r="E408" s="38">
        <v>2570</v>
      </c>
      <c r="F408" s="39" t="s">
        <v>57</v>
      </c>
      <c r="G408" s="42">
        <v>1</v>
      </c>
      <c r="H408" s="53">
        <f>(Tabelle3[[#This Row],[ca. Anzahl
Titel pro Jahr]]*20.3)</f>
        <v>20.3</v>
      </c>
      <c r="I408" s="41">
        <f t="shared" si="8"/>
        <v>0</v>
      </c>
      <c r="J408" s="17"/>
      <c r="K408" s="17"/>
    </row>
    <row r="409" spans="1:11" ht="12.95" customHeight="1">
      <c r="A409" s="77"/>
      <c r="B409" s="51" t="s">
        <v>215</v>
      </c>
      <c r="C409" s="37"/>
      <c r="D409" s="37" t="s">
        <v>15</v>
      </c>
      <c r="E409" s="38">
        <v>4497</v>
      </c>
      <c r="F409" s="39" t="s">
        <v>133</v>
      </c>
      <c r="G409" s="43">
        <v>1</v>
      </c>
      <c r="H409" s="53">
        <f>(Tabelle3[[#This Row],[ca. Anzahl
Titel pro Jahr]]*17.3)</f>
        <v>17.3</v>
      </c>
      <c r="I409" s="41">
        <f>A409*H409</f>
        <v>0</v>
      </c>
      <c r="J409" s="17"/>
      <c r="K409" s="17"/>
    </row>
    <row r="410" spans="1:11" ht="12.95" customHeight="1">
      <c r="A410" s="77"/>
      <c r="B410" s="51" t="s">
        <v>686</v>
      </c>
      <c r="C410" s="37"/>
      <c r="D410" s="37" t="s">
        <v>61</v>
      </c>
      <c r="E410" s="38">
        <v>5777</v>
      </c>
      <c r="F410" s="39" t="s">
        <v>25</v>
      </c>
      <c r="G410" s="43">
        <v>1</v>
      </c>
      <c r="H410" s="53">
        <f>(Tabelle3[[#This Row],[ca. Anzahl
Titel pro Jahr]]*21.9)</f>
        <v>21.9</v>
      </c>
      <c r="I410" s="41">
        <f>A410*H410</f>
        <v>0</v>
      </c>
      <c r="J410" s="17"/>
      <c r="K410" s="17"/>
    </row>
    <row r="411" spans="1:11" ht="12.95" customHeight="1">
      <c r="A411" s="77"/>
      <c r="B411" s="51" t="s">
        <v>797</v>
      </c>
      <c r="C411" s="37"/>
      <c r="D411" s="37" t="s">
        <v>38</v>
      </c>
      <c r="E411" s="38">
        <v>5858</v>
      </c>
      <c r="F411" s="55" t="s">
        <v>887</v>
      </c>
      <c r="G411" s="42">
        <v>1</v>
      </c>
      <c r="H411" s="53">
        <v>21.5</v>
      </c>
      <c r="I411" s="41">
        <f>A411*H411</f>
        <v>0</v>
      </c>
      <c r="J411" s="17"/>
      <c r="K411" s="17"/>
    </row>
    <row r="412" spans="1:11" ht="12.95" customHeight="1">
      <c r="A412" s="77"/>
      <c r="B412" s="51" t="s">
        <v>462</v>
      </c>
      <c r="C412" s="37"/>
      <c r="D412" s="37" t="s">
        <v>17</v>
      </c>
      <c r="E412" s="38">
        <v>5435</v>
      </c>
      <c r="F412" s="39" t="s">
        <v>21</v>
      </c>
      <c r="G412" s="43">
        <v>1</v>
      </c>
      <c r="H412" s="53">
        <f>(Tabelle3[[#This Row],[ca. Anzahl
Titel pro Jahr]]*20.3)</f>
        <v>20.3</v>
      </c>
      <c r="I412" s="41">
        <f>A412*H412</f>
        <v>0</v>
      </c>
      <c r="J412" s="17"/>
      <c r="K412" s="17"/>
    </row>
    <row r="413" spans="1:11" ht="12.95" customHeight="1">
      <c r="A413" s="77"/>
      <c r="B413" s="51" t="s">
        <v>704</v>
      </c>
      <c r="C413" s="37"/>
      <c r="D413" s="37" t="s">
        <v>31</v>
      </c>
      <c r="E413" s="38">
        <v>5819</v>
      </c>
      <c r="F413" s="39" t="s">
        <v>705</v>
      </c>
      <c r="G413" s="43">
        <v>1</v>
      </c>
      <c r="H413" s="53">
        <f>(Tabelle3[[#This Row],[ca. Anzahl
Titel pro Jahr]]*17.3)</f>
        <v>17.3</v>
      </c>
      <c r="I413" s="41">
        <f t="shared" ref="I413:I455" si="9">A413*H413</f>
        <v>0</v>
      </c>
      <c r="J413" s="17"/>
      <c r="K413" s="17"/>
    </row>
    <row r="414" spans="1:11" ht="12.95" customHeight="1">
      <c r="A414" s="77"/>
      <c r="B414" s="62" t="s">
        <v>1015</v>
      </c>
      <c r="C414" s="37"/>
      <c r="D414" s="54" t="s">
        <v>676</v>
      </c>
      <c r="E414" s="38">
        <v>5988</v>
      </c>
      <c r="F414" s="55" t="s">
        <v>1016</v>
      </c>
      <c r="G414" s="43">
        <v>2</v>
      </c>
      <c r="H414" s="53">
        <v>41</v>
      </c>
      <c r="I414" s="41">
        <f>A414*H414</f>
        <v>0</v>
      </c>
      <c r="J414" s="17"/>
      <c r="K414" s="17"/>
    </row>
    <row r="415" spans="1:11" ht="12.95" customHeight="1">
      <c r="A415" s="77"/>
      <c r="B415" s="51" t="s">
        <v>553</v>
      </c>
      <c r="C415" s="37"/>
      <c r="D415" s="37" t="s">
        <v>17</v>
      </c>
      <c r="E415" s="38">
        <v>5576</v>
      </c>
      <c r="F415" s="39" t="s">
        <v>554</v>
      </c>
      <c r="G415" s="42">
        <v>1</v>
      </c>
      <c r="H415" s="53">
        <v>24.3</v>
      </c>
      <c r="I415" s="41">
        <f t="shared" si="9"/>
        <v>0</v>
      </c>
      <c r="J415" s="17"/>
      <c r="K415" s="17"/>
    </row>
    <row r="416" spans="1:11" ht="12.95" customHeight="1">
      <c r="A416" s="77"/>
      <c r="B416" s="51" t="s">
        <v>702</v>
      </c>
      <c r="C416" s="37"/>
      <c r="D416" s="37" t="s">
        <v>34</v>
      </c>
      <c r="E416" s="38">
        <v>5832</v>
      </c>
      <c r="F416" s="39" t="s">
        <v>57</v>
      </c>
      <c r="G416" s="43">
        <v>1</v>
      </c>
      <c r="H416" s="53">
        <f>(Tabelle3[[#This Row],[ca. Anzahl
Titel pro Jahr]]*17.3)</f>
        <v>17.3</v>
      </c>
      <c r="I416" s="41">
        <f t="shared" si="9"/>
        <v>0</v>
      </c>
      <c r="J416" s="17"/>
      <c r="K416" s="17"/>
    </row>
    <row r="417" spans="1:11" ht="12.95" customHeight="1">
      <c r="A417" s="77"/>
      <c r="B417" s="51" t="s">
        <v>366</v>
      </c>
      <c r="C417" s="37"/>
      <c r="D417" s="37" t="s">
        <v>37</v>
      </c>
      <c r="E417" s="38">
        <v>5196</v>
      </c>
      <c r="F417" s="39" t="s">
        <v>367</v>
      </c>
      <c r="G417" s="43">
        <v>1</v>
      </c>
      <c r="H417" s="53">
        <f>(Tabelle3[[#This Row],[ca. Anzahl
Titel pro Jahr]]*22.9)</f>
        <v>22.9</v>
      </c>
      <c r="I417" s="41">
        <f t="shared" si="9"/>
        <v>0</v>
      </c>
      <c r="J417" s="17"/>
      <c r="K417" s="17"/>
    </row>
    <row r="418" spans="1:11" ht="12.95" customHeight="1">
      <c r="A418" s="77"/>
      <c r="B418" s="51" t="s">
        <v>606</v>
      </c>
      <c r="C418" s="37"/>
      <c r="D418" s="37" t="s">
        <v>15</v>
      </c>
      <c r="E418" s="38">
        <v>5724</v>
      </c>
      <c r="F418" s="39" t="s">
        <v>25</v>
      </c>
      <c r="G418" s="42">
        <v>2</v>
      </c>
      <c r="H418" s="53">
        <f>(Tabelle3[[#This Row],[ca. Anzahl
Titel pro Jahr]]*22.9)</f>
        <v>45.8</v>
      </c>
      <c r="I418" s="41">
        <f t="shared" si="9"/>
        <v>0</v>
      </c>
      <c r="J418" s="17"/>
      <c r="K418" s="17"/>
    </row>
    <row r="419" spans="1:11" ht="12.95" customHeight="1">
      <c r="A419" s="77"/>
      <c r="B419" s="51" t="s">
        <v>555</v>
      </c>
      <c r="C419" s="37"/>
      <c r="D419" s="37" t="s">
        <v>88</v>
      </c>
      <c r="E419" s="38">
        <v>5532</v>
      </c>
      <c r="F419" s="39" t="s">
        <v>556</v>
      </c>
      <c r="G419" s="43">
        <v>1</v>
      </c>
      <c r="H419" s="53">
        <f>(Tabelle3[[#This Row],[ca. Anzahl
Titel pro Jahr]]*18.7)</f>
        <v>18.7</v>
      </c>
      <c r="I419" s="41">
        <f t="shared" si="9"/>
        <v>0</v>
      </c>
      <c r="J419" s="17"/>
      <c r="K419" s="17"/>
    </row>
    <row r="420" spans="1:11" ht="12.95" customHeight="1">
      <c r="A420" s="77"/>
      <c r="B420" s="51" t="s">
        <v>380</v>
      </c>
      <c r="C420" s="37"/>
      <c r="D420" s="37" t="s">
        <v>31</v>
      </c>
      <c r="E420" s="38">
        <v>5254</v>
      </c>
      <c r="F420" s="39" t="s">
        <v>381</v>
      </c>
      <c r="G420" s="43">
        <v>1</v>
      </c>
      <c r="H420" s="53">
        <f>(Tabelle3[[#This Row],[ca. Anzahl
Titel pro Jahr]]*17.7)</f>
        <v>17.7</v>
      </c>
      <c r="I420" s="41">
        <f t="shared" si="9"/>
        <v>0</v>
      </c>
      <c r="J420" s="17"/>
      <c r="K420" s="17"/>
    </row>
    <row r="421" spans="1:11" ht="12.95" customHeight="1">
      <c r="A421" s="77"/>
      <c r="B421" s="51" t="s">
        <v>351</v>
      </c>
      <c r="C421" s="37"/>
      <c r="D421" s="37" t="s">
        <v>58</v>
      </c>
      <c r="E421" s="38">
        <v>5177</v>
      </c>
      <c r="F421" s="39" t="s">
        <v>352</v>
      </c>
      <c r="G421" s="42">
        <v>1</v>
      </c>
      <c r="H421" s="53">
        <f>(Tabelle3[[#This Row],[ca. Anzahl
Titel pro Jahr]]*20.3)</f>
        <v>20.3</v>
      </c>
      <c r="I421" s="41">
        <f t="shared" si="9"/>
        <v>0</v>
      </c>
      <c r="J421" s="17"/>
      <c r="K421" s="17"/>
    </row>
    <row r="422" spans="1:11" ht="12.95" customHeight="1">
      <c r="A422" s="77"/>
      <c r="B422" s="51" t="s">
        <v>454</v>
      </c>
      <c r="C422" s="37"/>
      <c r="D422" s="37" t="s">
        <v>17</v>
      </c>
      <c r="E422" s="38">
        <v>5013</v>
      </c>
      <c r="F422" s="39" t="s">
        <v>25</v>
      </c>
      <c r="G422" s="43">
        <v>1</v>
      </c>
      <c r="H422" s="53">
        <v>23.9</v>
      </c>
      <c r="I422" s="41">
        <f t="shared" si="9"/>
        <v>0</v>
      </c>
      <c r="J422" s="17"/>
      <c r="K422" s="17"/>
    </row>
    <row r="423" spans="1:11" ht="12.95" customHeight="1">
      <c r="A423" s="77"/>
      <c r="B423" s="51" t="s">
        <v>216</v>
      </c>
      <c r="C423" s="37"/>
      <c r="D423" s="37" t="s">
        <v>92</v>
      </c>
      <c r="E423" s="38">
        <v>4953</v>
      </c>
      <c r="F423" s="39" t="s">
        <v>404</v>
      </c>
      <c r="G423" s="42">
        <v>1</v>
      </c>
      <c r="H423" s="53">
        <v>24</v>
      </c>
      <c r="I423" s="41">
        <f t="shared" si="9"/>
        <v>0</v>
      </c>
      <c r="J423" s="17"/>
      <c r="K423" s="17"/>
    </row>
    <row r="424" spans="1:11" ht="12.95" customHeight="1">
      <c r="A424" s="77"/>
      <c r="B424" s="51" t="s">
        <v>401</v>
      </c>
      <c r="C424" s="37"/>
      <c r="D424" s="37" t="s">
        <v>19</v>
      </c>
      <c r="E424" s="38">
        <v>5285</v>
      </c>
      <c r="F424" s="39" t="s">
        <v>355</v>
      </c>
      <c r="G424" s="43">
        <v>1</v>
      </c>
      <c r="H424" s="53">
        <v>26.5</v>
      </c>
      <c r="I424" s="41">
        <f t="shared" si="9"/>
        <v>0</v>
      </c>
      <c r="J424" s="17"/>
      <c r="K424" s="17"/>
    </row>
    <row r="425" spans="1:11" ht="12.95" customHeight="1">
      <c r="A425" s="77"/>
      <c r="B425" s="51" t="s">
        <v>798</v>
      </c>
      <c r="C425" s="37"/>
      <c r="D425" s="37" t="s">
        <v>52</v>
      </c>
      <c r="E425" s="38">
        <v>5615</v>
      </c>
      <c r="F425" s="55" t="s">
        <v>888</v>
      </c>
      <c r="G425" s="43">
        <v>1</v>
      </c>
      <c r="H425" s="53">
        <v>20.5</v>
      </c>
      <c r="I425" s="41">
        <f t="shared" si="9"/>
        <v>0</v>
      </c>
      <c r="J425" s="17"/>
      <c r="K425" s="17"/>
    </row>
    <row r="426" spans="1:11" ht="12.95" customHeight="1">
      <c r="A426" s="77"/>
      <c r="B426" s="51" t="s">
        <v>799</v>
      </c>
      <c r="C426" s="37"/>
      <c r="D426" s="37" t="s">
        <v>61</v>
      </c>
      <c r="E426" s="38">
        <v>5698</v>
      </c>
      <c r="F426" s="55" t="s">
        <v>356</v>
      </c>
      <c r="G426" s="42">
        <v>1</v>
      </c>
      <c r="H426" s="53">
        <v>18.5</v>
      </c>
      <c r="I426" s="41">
        <f t="shared" si="9"/>
        <v>0</v>
      </c>
      <c r="J426" s="17"/>
      <c r="K426" s="17"/>
    </row>
    <row r="427" spans="1:11" ht="12.95" customHeight="1">
      <c r="A427" s="77"/>
      <c r="B427" s="51" t="s">
        <v>800</v>
      </c>
      <c r="C427" s="37"/>
      <c r="D427" s="37" t="s">
        <v>77</v>
      </c>
      <c r="E427" s="38">
        <v>5604</v>
      </c>
      <c r="F427" s="55" t="s">
        <v>889</v>
      </c>
      <c r="G427" s="43">
        <v>1</v>
      </c>
      <c r="H427" s="53">
        <v>24.5</v>
      </c>
      <c r="I427" s="41">
        <f t="shared" si="9"/>
        <v>0</v>
      </c>
      <c r="J427" s="17"/>
      <c r="K427" s="17"/>
    </row>
    <row r="428" spans="1:11" ht="12.95" customHeight="1">
      <c r="A428" s="77"/>
      <c r="B428" s="51" t="s">
        <v>706</v>
      </c>
      <c r="C428" s="37"/>
      <c r="D428" s="37" t="s">
        <v>15</v>
      </c>
      <c r="E428" s="38">
        <v>5830</v>
      </c>
      <c r="F428" s="39" t="s">
        <v>57</v>
      </c>
      <c r="G428" s="43">
        <v>1</v>
      </c>
      <c r="H428" s="53">
        <f>(Tabelle3[[#This Row],[ca. Anzahl
Titel pro Jahr]]*18.7)</f>
        <v>18.7</v>
      </c>
      <c r="I428" s="41">
        <f t="shared" si="9"/>
        <v>0</v>
      </c>
      <c r="J428" s="17"/>
      <c r="K428" s="17"/>
    </row>
    <row r="429" spans="1:11" ht="12.95" customHeight="1">
      <c r="A429" s="77"/>
      <c r="B429" s="51" t="s">
        <v>517</v>
      </c>
      <c r="C429" s="37"/>
      <c r="D429" s="37" t="s">
        <v>52</v>
      </c>
      <c r="E429" s="38">
        <v>5529</v>
      </c>
      <c r="F429" s="39" t="s">
        <v>25</v>
      </c>
      <c r="G429" s="43">
        <v>1</v>
      </c>
      <c r="H429" s="53">
        <f>(Tabelle3[[#This Row],[ca. Anzahl
Titel pro Jahr]]*22.3)</f>
        <v>22.3</v>
      </c>
      <c r="I429" s="41">
        <f t="shared" si="9"/>
        <v>0</v>
      </c>
      <c r="J429" s="17"/>
      <c r="K429" s="17"/>
    </row>
    <row r="430" spans="1:11" ht="12.95" customHeight="1">
      <c r="A430" s="77"/>
      <c r="B430" s="51" t="s">
        <v>557</v>
      </c>
      <c r="C430" s="37"/>
      <c r="D430" s="37" t="s">
        <v>15</v>
      </c>
      <c r="E430" s="38">
        <v>5587</v>
      </c>
      <c r="F430" s="39" t="s">
        <v>558</v>
      </c>
      <c r="G430" s="42">
        <v>1</v>
      </c>
      <c r="H430" s="53">
        <f>(Tabelle3[[#This Row],[ca. Anzahl
Titel pro Jahr]]*22.9)</f>
        <v>22.9</v>
      </c>
      <c r="I430" s="41">
        <f t="shared" si="9"/>
        <v>0</v>
      </c>
      <c r="J430" s="17"/>
      <c r="K430" s="17"/>
    </row>
    <row r="431" spans="1:11" ht="12.95" customHeight="1">
      <c r="A431" s="77"/>
      <c r="B431" s="51" t="s">
        <v>433</v>
      </c>
      <c r="C431" s="37"/>
      <c r="D431" s="37" t="s">
        <v>17</v>
      </c>
      <c r="E431" s="38">
        <v>5309</v>
      </c>
      <c r="F431" s="39" t="s">
        <v>25</v>
      </c>
      <c r="G431" s="43">
        <v>2</v>
      </c>
      <c r="H431" s="53">
        <v>43</v>
      </c>
      <c r="I431" s="41">
        <f t="shared" si="9"/>
        <v>0</v>
      </c>
      <c r="J431" s="17"/>
      <c r="K431" s="17"/>
    </row>
    <row r="432" spans="1:11" ht="12.95" customHeight="1">
      <c r="A432" s="77"/>
      <c r="B432" s="51" t="s">
        <v>217</v>
      </c>
      <c r="C432" s="37"/>
      <c r="D432" s="37" t="s">
        <v>218</v>
      </c>
      <c r="E432" s="38">
        <v>4856</v>
      </c>
      <c r="F432" s="39" t="s">
        <v>219</v>
      </c>
      <c r="G432" s="43">
        <v>3</v>
      </c>
      <c r="H432" s="53">
        <v>52.5</v>
      </c>
      <c r="I432" s="41">
        <f t="shared" si="9"/>
        <v>0</v>
      </c>
      <c r="J432" s="17"/>
      <c r="K432" s="17"/>
    </row>
    <row r="433" spans="1:11" ht="12.95" customHeight="1">
      <c r="A433" s="77"/>
      <c r="B433" s="51" t="s">
        <v>434</v>
      </c>
      <c r="C433" s="37"/>
      <c r="D433" s="37" t="s">
        <v>31</v>
      </c>
      <c r="E433" s="38">
        <v>5340</v>
      </c>
      <c r="F433" s="39" t="s">
        <v>435</v>
      </c>
      <c r="G433" s="42">
        <v>1</v>
      </c>
      <c r="H433" s="53">
        <f>(Tabelle3[[#This Row],[ca. Anzahl
Titel pro Jahr]]*20.7)</f>
        <v>20.7</v>
      </c>
      <c r="I433" s="41">
        <f t="shared" si="9"/>
        <v>0</v>
      </c>
      <c r="J433" s="17"/>
      <c r="K433" s="17"/>
    </row>
    <row r="434" spans="1:11" ht="12.95" customHeight="1">
      <c r="A434" s="77"/>
      <c r="B434" s="62" t="s">
        <v>983</v>
      </c>
      <c r="C434" s="37"/>
      <c r="D434" s="54" t="s">
        <v>31</v>
      </c>
      <c r="E434" s="38">
        <v>5383</v>
      </c>
      <c r="F434" s="55" t="s">
        <v>984</v>
      </c>
      <c r="G434" s="43">
        <v>1</v>
      </c>
      <c r="H434" s="53">
        <v>17.5</v>
      </c>
      <c r="I434" s="41">
        <f>A434*H434</f>
        <v>0</v>
      </c>
      <c r="J434" s="17"/>
      <c r="K434" s="17"/>
    </row>
    <row r="435" spans="1:11" ht="12.95" customHeight="1">
      <c r="A435" s="77"/>
      <c r="B435" s="62" t="s">
        <v>1040</v>
      </c>
      <c r="C435" s="37"/>
      <c r="D435" s="54" t="s">
        <v>701</v>
      </c>
      <c r="E435" s="38">
        <v>6017</v>
      </c>
      <c r="F435" s="55" t="s">
        <v>1041</v>
      </c>
      <c r="G435" s="43">
        <v>1</v>
      </c>
      <c r="H435" s="53">
        <v>17.5</v>
      </c>
      <c r="I435" s="41">
        <f>A435*H435</f>
        <v>0</v>
      </c>
      <c r="J435" s="17"/>
      <c r="K435" s="17"/>
    </row>
    <row r="436" spans="1:11" ht="12.95" customHeight="1">
      <c r="A436" s="77"/>
      <c r="B436" s="51" t="s">
        <v>461</v>
      </c>
      <c r="C436" s="37"/>
      <c r="D436" s="37" t="s">
        <v>468</v>
      </c>
      <c r="E436" s="38">
        <v>5458</v>
      </c>
      <c r="F436" s="39" t="s">
        <v>57</v>
      </c>
      <c r="G436" s="43">
        <v>2</v>
      </c>
      <c r="H436" s="53">
        <f>(Tabelle3[[#This Row],[ca. Anzahl
Titel pro Jahr]]*19.3)</f>
        <v>38.6</v>
      </c>
      <c r="I436" s="41">
        <f t="shared" si="9"/>
        <v>0</v>
      </c>
      <c r="J436" s="17"/>
      <c r="K436" s="17"/>
    </row>
    <row r="437" spans="1:11" ht="12.95" customHeight="1">
      <c r="A437" s="77"/>
      <c r="B437" s="62" t="s">
        <v>990</v>
      </c>
      <c r="C437" s="37"/>
      <c r="D437" s="54" t="s">
        <v>15</v>
      </c>
      <c r="E437" s="38">
        <v>5951</v>
      </c>
      <c r="F437" s="55" t="s">
        <v>25</v>
      </c>
      <c r="G437" s="43">
        <v>1</v>
      </c>
      <c r="H437" s="53">
        <v>20.9</v>
      </c>
      <c r="I437" s="41">
        <f>A437*H437</f>
        <v>0</v>
      </c>
      <c r="J437" s="17"/>
      <c r="K437" s="17"/>
    </row>
    <row r="438" spans="1:11" ht="12.95" customHeight="1">
      <c r="A438" s="77"/>
      <c r="B438" s="51" t="s">
        <v>656</v>
      </c>
      <c r="C438" s="37"/>
      <c r="D438" s="37" t="s">
        <v>88</v>
      </c>
      <c r="E438" s="38">
        <v>5757</v>
      </c>
      <c r="F438" s="39" t="s">
        <v>657</v>
      </c>
      <c r="G438" s="42">
        <v>1</v>
      </c>
      <c r="H438" s="53">
        <f>(Tabelle3[[#This Row],[ca. Anzahl
Titel pro Jahr]]*16.3)</f>
        <v>16.3</v>
      </c>
      <c r="I438" s="41">
        <f t="shared" si="9"/>
        <v>0</v>
      </c>
      <c r="J438" s="17"/>
      <c r="K438" s="17"/>
    </row>
    <row r="439" spans="1:11" ht="12.95" customHeight="1">
      <c r="A439" s="77"/>
      <c r="B439" s="51" t="s">
        <v>436</v>
      </c>
      <c r="C439" s="37"/>
      <c r="D439" s="37" t="s">
        <v>19</v>
      </c>
      <c r="E439" s="38">
        <v>5341</v>
      </c>
      <c r="F439" s="39" t="s">
        <v>437</v>
      </c>
      <c r="G439" s="43">
        <v>1</v>
      </c>
      <c r="H439" s="53">
        <f>(Tabelle3[[#This Row],[ca. Anzahl
Titel pro Jahr]]*21.9)</f>
        <v>21.9</v>
      </c>
      <c r="I439" s="41">
        <f t="shared" si="9"/>
        <v>0</v>
      </c>
      <c r="J439" s="17"/>
      <c r="K439" s="17"/>
    </row>
    <row r="440" spans="1:11" ht="12.95" customHeight="1">
      <c r="A440" s="77"/>
      <c r="B440" s="51" t="s">
        <v>220</v>
      </c>
      <c r="C440" s="37"/>
      <c r="D440" s="37" t="s">
        <v>221</v>
      </c>
      <c r="E440" s="38">
        <v>2277</v>
      </c>
      <c r="F440" s="39" t="s">
        <v>186</v>
      </c>
      <c r="G440" s="42">
        <v>1</v>
      </c>
      <c r="H440" s="53">
        <f>(Tabelle3[[#This Row],[ca. Anzahl
Titel pro Jahr]]*20.3)</f>
        <v>20.3</v>
      </c>
      <c r="I440" s="41">
        <f t="shared" si="9"/>
        <v>0</v>
      </c>
      <c r="J440" s="17"/>
      <c r="K440" s="17"/>
    </row>
    <row r="441" spans="1:11" ht="12.95" customHeight="1">
      <c r="A441" s="77"/>
      <c r="B441" s="51" t="s">
        <v>693</v>
      </c>
      <c r="C441" s="37"/>
      <c r="D441" s="37" t="s">
        <v>37</v>
      </c>
      <c r="E441" s="38">
        <v>5816</v>
      </c>
      <c r="F441" s="39" t="s">
        <v>559</v>
      </c>
      <c r="G441" s="43">
        <v>1</v>
      </c>
      <c r="H441" s="53">
        <f>(Tabelle3[[#This Row],[ca. Anzahl
Titel pro Jahr]]*21.9)</f>
        <v>21.9</v>
      </c>
      <c r="I441" s="41">
        <f t="shared" si="9"/>
        <v>0</v>
      </c>
      <c r="J441" s="17"/>
      <c r="K441" s="17"/>
    </row>
    <row r="442" spans="1:11" ht="12.95" customHeight="1">
      <c r="A442" s="77"/>
      <c r="B442" s="51" t="s">
        <v>222</v>
      </c>
      <c r="C442" s="37"/>
      <c r="D442" s="37" t="s">
        <v>17</v>
      </c>
      <c r="E442" s="38">
        <v>5006</v>
      </c>
      <c r="F442" s="39" t="s">
        <v>223</v>
      </c>
      <c r="G442" s="43">
        <v>1</v>
      </c>
      <c r="H442" s="53">
        <v>21.5</v>
      </c>
      <c r="I442" s="41">
        <f t="shared" si="9"/>
        <v>0</v>
      </c>
      <c r="J442" s="17"/>
      <c r="K442" s="17"/>
    </row>
    <row r="443" spans="1:11" ht="12.95" customHeight="1">
      <c r="A443" s="77"/>
      <c r="B443" s="51" t="s">
        <v>224</v>
      </c>
      <c r="C443" s="37"/>
      <c r="D443" s="37" t="s">
        <v>159</v>
      </c>
      <c r="E443" s="38">
        <v>871</v>
      </c>
      <c r="F443" s="39" t="s">
        <v>25</v>
      </c>
      <c r="G443" s="43">
        <v>1</v>
      </c>
      <c r="H443" s="53">
        <v>22.9</v>
      </c>
      <c r="I443" s="41">
        <f t="shared" si="9"/>
        <v>0</v>
      </c>
      <c r="J443" s="17"/>
      <c r="K443" s="17"/>
    </row>
    <row r="444" spans="1:11" ht="12.95" customHeight="1">
      <c r="A444" s="77"/>
      <c r="B444" s="51" t="s">
        <v>225</v>
      </c>
      <c r="C444" s="37"/>
      <c r="D444" s="37" t="s">
        <v>226</v>
      </c>
      <c r="E444" s="38">
        <v>4672</v>
      </c>
      <c r="F444" s="39" t="s">
        <v>25</v>
      </c>
      <c r="G444" s="43">
        <v>1</v>
      </c>
      <c r="H444" s="53">
        <f>(Tabelle3[[#This Row],[ca. Anzahl
Titel pro Jahr]]*22.9)</f>
        <v>22.9</v>
      </c>
      <c r="I444" s="41">
        <f t="shared" si="9"/>
        <v>0</v>
      </c>
      <c r="J444" s="17"/>
      <c r="K444" s="17"/>
    </row>
    <row r="445" spans="1:11" ht="12.95" customHeight="1">
      <c r="A445" s="77"/>
      <c r="B445" s="51" t="s">
        <v>227</v>
      </c>
      <c r="C445" s="37"/>
      <c r="D445" s="37" t="s">
        <v>226</v>
      </c>
      <c r="E445" s="38">
        <v>4671</v>
      </c>
      <c r="F445" s="39" t="s">
        <v>25</v>
      </c>
      <c r="G445" s="42">
        <v>1</v>
      </c>
      <c r="H445" s="53">
        <f>(Tabelle3[[#This Row],[ca. Anzahl
Titel pro Jahr]]*11.3)</f>
        <v>11.3</v>
      </c>
      <c r="I445" s="41">
        <f t="shared" si="9"/>
        <v>0</v>
      </c>
      <c r="J445" s="17"/>
      <c r="K445" s="17"/>
    </row>
    <row r="446" spans="1:11" ht="12.95" customHeight="1">
      <c r="A446" s="77"/>
      <c r="B446" s="51" t="s">
        <v>438</v>
      </c>
      <c r="C446" s="37"/>
      <c r="D446" s="37" t="s">
        <v>226</v>
      </c>
      <c r="E446" s="38">
        <v>5342</v>
      </c>
      <c r="F446" s="39" t="s">
        <v>25</v>
      </c>
      <c r="G446" s="43">
        <v>1</v>
      </c>
      <c r="H446" s="53">
        <f>(Tabelle3[[#This Row],[ca. Anzahl
Titel pro Jahr]]*25.9)</f>
        <v>25.9</v>
      </c>
      <c r="I446" s="41">
        <f t="shared" si="9"/>
        <v>0</v>
      </c>
      <c r="J446" s="17"/>
      <c r="K446" s="17"/>
    </row>
    <row r="447" spans="1:11" ht="12.95" customHeight="1">
      <c r="A447" s="77"/>
      <c r="B447" s="51" t="s">
        <v>597</v>
      </c>
      <c r="C447" s="37"/>
      <c r="D447" s="37" t="s">
        <v>35</v>
      </c>
      <c r="E447" s="38">
        <v>5693</v>
      </c>
      <c r="F447" s="39" t="s">
        <v>25</v>
      </c>
      <c r="G447" s="43">
        <v>1</v>
      </c>
      <c r="H447" s="53">
        <f>(Tabelle3[[#This Row],[ca. Anzahl
Titel pro Jahr]]*22.9)</f>
        <v>22.9</v>
      </c>
      <c r="I447" s="41">
        <f t="shared" si="9"/>
        <v>0</v>
      </c>
      <c r="J447" s="17"/>
      <c r="K447" s="17"/>
    </row>
    <row r="448" spans="1:11" ht="12.95" customHeight="1">
      <c r="A448" s="77"/>
      <c r="B448" s="51" t="s">
        <v>397</v>
      </c>
      <c r="C448" s="37"/>
      <c r="D448" s="37" t="s">
        <v>31</v>
      </c>
      <c r="E448" s="38">
        <v>5271</v>
      </c>
      <c r="F448" s="39" t="s">
        <v>356</v>
      </c>
      <c r="G448" s="42">
        <v>1</v>
      </c>
      <c r="H448" s="53">
        <v>20.5</v>
      </c>
      <c r="I448" s="41">
        <f t="shared" si="9"/>
        <v>0</v>
      </c>
      <c r="J448" s="17"/>
      <c r="K448" s="17"/>
    </row>
    <row r="449" spans="1:11" ht="12.95" customHeight="1">
      <c r="A449" s="77"/>
      <c r="B449" s="62" t="s">
        <v>1003</v>
      </c>
      <c r="C449" s="37"/>
      <c r="D449" s="54" t="s">
        <v>61</v>
      </c>
      <c r="E449" s="38">
        <v>5953</v>
      </c>
      <c r="F449" s="55" t="s">
        <v>356</v>
      </c>
      <c r="G449" s="42">
        <v>1</v>
      </c>
      <c r="H449" s="53">
        <v>22.9</v>
      </c>
      <c r="I449" s="41">
        <f>A449*H449</f>
        <v>0</v>
      </c>
      <c r="J449" s="17"/>
      <c r="K449" s="17"/>
    </row>
    <row r="450" spans="1:11" ht="12.95" customHeight="1">
      <c r="A450" s="77"/>
      <c r="B450" s="51" t="s">
        <v>801</v>
      </c>
      <c r="C450" s="37"/>
      <c r="D450" s="37" t="s">
        <v>58</v>
      </c>
      <c r="E450" s="38">
        <v>5738</v>
      </c>
      <c r="F450" s="55" t="s">
        <v>428</v>
      </c>
      <c r="G450" s="43">
        <v>1</v>
      </c>
      <c r="H450" s="53">
        <v>20.5</v>
      </c>
      <c r="I450" s="41">
        <f t="shared" si="9"/>
        <v>0</v>
      </c>
      <c r="J450" s="17"/>
      <c r="K450" s="17"/>
    </row>
    <row r="451" spans="1:11" ht="12.95" customHeight="1">
      <c r="A451" s="77"/>
      <c r="B451" s="62" t="s">
        <v>1001</v>
      </c>
      <c r="C451" s="37"/>
      <c r="D451" s="54" t="s">
        <v>88</v>
      </c>
      <c r="E451" s="38">
        <v>5937</v>
      </c>
      <c r="F451" s="55" t="s">
        <v>1002</v>
      </c>
      <c r="G451" s="43">
        <v>1</v>
      </c>
      <c r="H451" s="53">
        <v>20.5</v>
      </c>
      <c r="I451" s="41">
        <f>A451*H451</f>
        <v>0</v>
      </c>
      <c r="J451" s="17"/>
      <c r="K451" s="17"/>
    </row>
    <row r="452" spans="1:11" ht="12.95" customHeight="1">
      <c r="A452" s="77"/>
      <c r="B452" s="51" t="s">
        <v>228</v>
      </c>
      <c r="C452" s="37"/>
      <c r="D452" s="37" t="s">
        <v>61</v>
      </c>
      <c r="E452" s="38">
        <v>4855</v>
      </c>
      <c r="F452" s="39" t="s">
        <v>25</v>
      </c>
      <c r="G452" s="42">
        <v>1</v>
      </c>
      <c r="H452" s="53">
        <v>21.5</v>
      </c>
      <c r="I452" s="41">
        <f t="shared" si="9"/>
        <v>0</v>
      </c>
      <c r="J452" s="17"/>
      <c r="K452" s="17"/>
    </row>
    <row r="453" spans="1:11" ht="12.95" customHeight="1">
      <c r="A453" s="77"/>
      <c r="B453" s="62" t="s">
        <v>1004</v>
      </c>
      <c r="C453" s="37"/>
      <c r="D453" s="54" t="s">
        <v>17</v>
      </c>
      <c r="E453" s="38">
        <v>5942</v>
      </c>
      <c r="F453" s="55" t="s">
        <v>356</v>
      </c>
      <c r="G453" s="42">
        <v>2</v>
      </c>
      <c r="H453" s="53">
        <v>31.8</v>
      </c>
      <c r="I453" s="41">
        <f>A453*H453</f>
        <v>0</v>
      </c>
      <c r="J453" s="17"/>
      <c r="K453" s="17"/>
    </row>
    <row r="454" spans="1:11" ht="12.95" customHeight="1">
      <c r="A454" s="77"/>
      <c r="B454" s="51" t="s">
        <v>375</v>
      </c>
      <c r="C454" s="37"/>
      <c r="D454" s="37" t="s">
        <v>376</v>
      </c>
      <c r="E454" s="38">
        <v>5229</v>
      </c>
      <c r="F454" s="39" t="s">
        <v>57</v>
      </c>
      <c r="G454" s="43">
        <v>1</v>
      </c>
      <c r="H454" s="53">
        <f>(Tabelle3[[#This Row],[ca. Anzahl
Titel pro Jahr]]*21.9)</f>
        <v>21.9</v>
      </c>
      <c r="I454" s="41">
        <f t="shared" si="9"/>
        <v>0</v>
      </c>
      <c r="J454" s="17"/>
      <c r="K454" s="17"/>
    </row>
    <row r="455" spans="1:11" ht="12.95" customHeight="1">
      <c r="A455" s="77"/>
      <c r="B455" s="51" t="s">
        <v>518</v>
      </c>
      <c r="C455" s="37"/>
      <c r="D455" s="37" t="s">
        <v>376</v>
      </c>
      <c r="E455" s="38">
        <v>5507</v>
      </c>
      <c r="F455" s="39" t="s">
        <v>519</v>
      </c>
      <c r="G455" s="43">
        <v>1</v>
      </c>
      <c r="H455" s="53">
        <f>(Tabelle3[[#This Row],[ca. Anzahl
Titel pro Jahr]]*21.9)</f>
        <v>21.9</v>
      </c>
      <c r="I455" s="41">
        <f t="shared" si="9"/>
        <v>0</v>
      </c>
      <c r="J455" s="17"/>
      <c r="K455" s="17"/>
    </row>
    <row r="456" spans="1:11" ht="12.75" customHeight="1">
      <c r="A456" s="18"/>
      <c r="B456" s="64"/>
      <c r="C456" s="19"/>
      <c r="D456" s="19"/>
      <c r="E456" s="20"/>
      <c r="G456" s="25"/>
      <c r="H456" s="70"/>
      <c r="I456" s="22"/>
      <c r="J456" s="24"/>
      <c r="K456" s="24"/>
    </row>
    <row r="457" spans="1:11" ht="12.95" customHeight="1">
      <c r="A457" s="9"/>
      <c r="B457" s="64"/>
      <c r="C457" s="26"/>
      <c r="D457" s="26"/>
      <c r="E457" s="26"/>
      <c r="F457" s="9"/>
      <c r="G457" s="26"/>
      <c r="H457" s="71" t="s">
        <v>341</v>
      </c>
      <c r="I457" s="106">
        <f>SUM(I309:I455)</f>
        <v>0</v>
      </c>
      <c r="J457" s="27"/>
    </row>
    <row r="458" spans="1:11" ht="12.95" customHeight="1">
      <c r="A458" s="18"/>
      <c r="B458" s="64"/>
      <c r="C458" s="19"/>
      <c r="D458" s="19"/>
      <c r="E458" s="20"/>
      <c r="G458" s="25"/>
      <c r="H458" s="70"/>
      <c r="I458" s="22"/>
      <c r="J458" s="23"/>
      <c r="K458" s="24"/>
    </row>
    <row r="459" spans="1:11" ht="18" customHeight="1">
      <c r="A459" s="97" t="s">
        <v>1061</v>
      </c>
      <c r="B459" s="98"/>
      <c r="C459" s="98"/>
      <c r="D459" s="98"/>
      <c r="E459" s="98"/>
      <c r="F459" s="98"/>
      <c r="G459" s="98"/>
      <c r="H459" s="98"/>
      <c r="I459" s="98"/>
      <c r="J459" s="98"/>
      <c r="K459" s="99"/>
    </row>
    <row r="460" spans="1:11" s="16" customFormat="1" ht="36" customHeight="1">
      <c r="A460" s="29" t="s">
        <v>5</v>
      </c>
      <c r="B460" s="61" t="s">
        <v>6</v>
      </c>
      <c r="C460" s="74" t="s">
        <v>638</v>
      </c>
      <c r="D460" s="31" t="s">
        <v>7</v>
      </c>
      <c r="E460" s="32" t="s">
        <v>8</v>
      </c>
      <c r="F460" s="31" t="s">
        <v>9</v>
      </c>
      <c r="G460" s="33" t="s">
        <v>10</v>
      </c>
      <c r="H460" s="69" t="s">
        <v>11</v>
      </c>
      <c r="I460" s="33" t="s">
        <v>347</v>
      </c>
      <c r="J460" s="33" t="s">
        <v>160</v>
      </c>
      <c r="K460" s="33" t="s">
        <v>13</v>
      </c>
    </row>
    <row r="461" spans="1:11" ht="12.95" customHeight="1">
      <c r="A461" s="77"/>
      <c r="B461" s="62" t="s">
        <v>229</v>
      </c>
      <c r="C461" s="37"/>
      <c r="D461" s="37" t="s">
        <v>152</v>
      </c>
      <c r="E461" s="38">
        <v>4260</v>
      </c>
      <c r="F461" s="39"/>
      <c r="G461" s="40">
        <v>2</v>
      </c>
      <c r="H461" s="53">
        <f>(Tabelle6[[#This Row],[ca. Anzahl
Titel pro Jahr]]*34.9)</f>
        <v>69.8</v>
      </c>
      <c r="I461" s="41">
        <f t="shared" ref="I461:I479" si="10">A461*H461</f>
        <v>0</v>
      </c>
      <c r="J461" s="17"/>
      <c r="K461" s="17"/>
    </row>
    <row r="462" spans="1:11" ht="12.95" customHeight="1">
      <c r="A462" s="77"/>
      <c r="B462" s="62" t="s">
        <v>230</v>
      </c>
      <c r="C462" s="37"/>
      <c r="D462" s="37" t="s">
        <v>231</v>
      </c>
      <c r="E462" s="38">
        <v>4155</v>
      </c>
      <c r="F462" s="39"/>
      <c r="G462" s="40">
        <v>1</v>
      </c>
      <c r="H462" s="53">
        <v>23.9</v>
      </c>
      <c r="I462" s="41">
        <f t="shared" si="10"/>
        <v>0</v>
      </c>
      <c r="J462" s="17"/>
      <c r="K462" s="17"/>
    </row>
    <row r="463" spans="1:11" ht="12.95" customHeight="1">
      <c r="A463" s="77"/>
      <c r="B463" s="62" t="s">
        <v>395</v>
      </c>
      <c r="C463" s="37"/>
      <c r="D463" s="37" t="s">
        <v>17</v>
      </c>
      <c r="E463" s="38">
        <v>5142</v>
      </c>
      <c r="F463" s="39"/>
      <c r="G463" s="40">
        <v>1</v>
      </c>
      <c r="H463" s="53">
        <v>34.5</v>
      </c>
      <c r="I463" s="41">
        <f t="shared" si="10"/>
        <v>0</v>
      </c>
      <c r="J463" s="17"/>
      <c r="K463" s="17"/>
    </row>
    <row r="464" spans="1:11" ht="12.95" customHeight="1">
      <c r="A464" s="77"/>
      <c r="B464" s="62" t="s">
        <v>232</v>
      </c>
      <c r="C464" s="37"/>
      <c r="D464" s="37" t="s">
        <v>152</v>
      </c>
      <c r="E464" s="38">
        <v>4880</v>
      </c>
      <c r="F464" s="39"/>
      <c r="G464" s="40">
        <v>1</v>
      </c>
      <c r="H464" s="53">
        <v>35.9</v>
      </c>
      <c r="I464" s="41">
        <f t="shared" si="10"/>
        <v>0</v>
      </c>
      <c r="J464" s="17"/>
      <c r="K464" s="17"/>
    </row>
    <row r="465" spans="1:11" ht="12.95" customHeight="1">
      <c r="A465" s="77"/>
      <c r="B465" s="62" t="s">
        <v>233</v>
      </c>
      <c r="C465" s="37"/>
      <c r="D465" s="37" t="s">
        <v>234</v>
      </c>
      <c r="E465" s="38">
        <v>2316</v>
      </c>
      <c r="F465" s="39"/>
      <c r="G465" s="40">
        <v>12</v>
      </c>
      <c r="H465" s="53">
        <f>(Tabelle6[[#This Row],[ca. Anzahl
Titel pro Jahr]]*24.3)</f>
        <v>291.60000000000002</v>
      </c>
      <c r="I465" s="41">
        <f t="shared" si="10"/>
        <v>0</v>
      </c>
      <c r="J465" s="17"/>
      <c r="K465" s="17"/>
    </row>
    <row r="466" spans="1:11" ht="12.95" customHeight="1">
      <c r="A466" s="77"/>
      <c r="B466" s="62" t="s">
        <v>784</v>
      </c>
      <c r="C466" s="37"/>
      <c r="D466" s="37" t="s">
        <v>785</v>
      </c>
      <c r="E466" s="38">
        <v>4375</v>
      </c>
      <c r="F466" s="39"/>
      <c r="G466" s="40">
        <v>1</v>
      </c>
      <c r="H466" s="53">
        <v>23.9</v>
      </c>
      <c r="I466" s="41">
        <f t="shared" si="10"/>
        <v>0</v>
      </c>
      <c r="J466" s="17"/>
      <c r="K466" s="17"/>
    </row>
    <row r="467" spans="1:11" ht="12.95" customHeight="1">
      <c r="A467" s="77"/>
      <c r="B467" s="62" t="s">
        <v>235</v>
      </c>
      <c r="C467" s="37"/>
      <c r="D467" s="37" t="s">
        <v>236</v>
      </c>
      <c r="E467" s="38">
        <v>5052</v>
      </c>
      <c r="F467" s="39"/>
      <c r="G467" s="40">
        <v>1</v>
      </c>
      <c r="H467" s="53">
        <f>(Tabelle6[[#This Row],[ca. Anzahl
Titel pro Jahr]]*21.9)</f>
        <v>21.9</v>
      </c>
      <c r="I467" s="41">
        <f t="shared" si="10"/>
        <v>0</v>
      </c>
      <c r="J467" s="17"/>
      <c r="K467" s="17"/>
    </row>
    <row r="468" spans="1:11" ht="12.95" customHeight="1">
      <c r="A468" s="77"/>
      <c r="B468" s="62" t="s">
        <v>237</v>
      </c>
      <c r="C468" s="37"/>
      <c r="D468" s="37" t="s">
        <v>172</v>
      </c>
      <c r="E468" s="38">
        <v>4735</v>
      </c>
      <c r="F468" s="39"/>
      <c r="G468" s="40">
        <v>1</v>
      </c>
      <c r="H468" s="53">
        <v>18.5</v>
      </c>
      <c r="I468" s="41">
        <f t="shared" si="10"/>
        <v>0</v>
      </c>
      <c r="J468" s="17"/>
      <c r="K468" s="17"/>
    </row>
    <row r="469" spans="1:11" ht="12.95" customHeight="1">
      <c r="A469" s="77"/>
      <c r="B469" s="62" t="s">
        <v>792</v>
      </c>
      <c r="C469" s="37"/>
      <c r="D469" s="37" t="s">
        <v>34</v>
      </c>
      <c r="E469" s="38">
        <v>5908</v>
      </c>
      <c r="F469" s="39"/>
      <c r="G469" s="40">
        <v>6</v>
      </c>
      <c r="H469" s="53">
        <v>119.4</v>
      </c>
      <c r="I469" s="41">
        <f t="shared" si="10"/>
        <v>0</v>
      </c>
      <c r="J469" s="17"/>
      <c r="K469" s="17"/>
    </row>
    <row r="470" spans="1:11" ht="12.95" customHeight="1">
      <c r="A470" s="77"/>
      <c r="B470" s="62" t="s">
        <v>238</v>
      </c>
      <c r="C470" s="37"/>
      <c r="D470" s="37" t="s">
        <v>152</v>
      </c>
      <c r="E470" s="38">
        <v>4414</v>
      </c>
      <c r="F470" s="39"/>
      <c r="G470" s="40">
        <v>5</v>
      </c>
      <c r="H470" s="53">
        <f>(Tabelle6[[#This Row],[ca. Anzahl
Titel pro Jahr]]*18.7)</f>
        <v>93.5</v>
      </c>
      <c r="I470" s="41">
        <f t="shared" si="10"/>
        <v>0</v>
      </c>
      <c r="J470" s="17"/>
      <c r="K470" s="17"/>
    </row>
    <row r="471" spans="1:11" ht="12.95" customHeight="1">
      <c r="A471" s="77"/>
      <c r="B471" s="62" t="s">
        <v>459</v>
      </c>
      <c r="C471" s="37"/>
      <c r="D471" s="37" t="s">
        <v>460</v>
      </c>
      <c r="E471" s="38">
        <v>5452</v>
      </c>
      <c r="F471" s="39"/>
      <c r="G471" s="40">
        <v>1</v>
      </c>
      <c r="H471" s="53">
        <f>(Tabelle6[[#This Row],[ca. Anzahl
Titel pro Jahr]]*20.3)</f>
        <v>20.3</v>
      </c>
      <c r="I471" s="41">
        <f t="shared" si="10"/>
        <v>0</v>
      </c>
      <c r="J471" s="17"/>
      <c r="K471" s="17"/>
    </row>
    <row r="472" spans="1:11" ht="12.95" customHeight="1">
      <c r="A472" s="77"/>
      <c r="B472" s="62" t="s">
        <v>1007</v>
      </c>
      <c r="C472" s="37"/>
      <c r="D472" s="54" t="s">
        <v>31</v>
      </c>
      <c r="E472" s="38">
        <v>5978</v>
      </c>
      <c r="F472" s="39"/>
      <c r="G472" s="40">
        <v>2</v>
      </c>
      <c r="H472" s="53">
        <v>35</v>
      </c>
      <c r="I472" s="41">
        <f>A472*H472</f>
        <v>0</v>
      </c>
      <c r="J472" s="17"/>
      <c r="K472" s="17"/>
    </row>
    <row r="473" spans="1:11" ht="12.95" customHeight="1">
      <c r="A473" s="77"/>
      <c r="B473" s="62" t="s">
        <v>603</v>
      </c>
      <c r="C473" s="37"/>
      <c r="D473" s="37" t="s">
        <v>17</v>
      </c>
      <c r="E473" s="38">
        <v>5668</v>
      </c>
      <c r="F473" s="39"/>
      <c r="G473" s="40">
        <v>2</v>
      </c>
      <c r="H473" s="53">
        <f>(Tabelle6[[#This Row],[ca. Anzahl
Titel pro Jahr]]*21.9)</f>
        <v>43.8</v>
      </c>
      <c r="I473" s="41">
        <f t="shared" si="10"/>
        <v>0</v>
      </c>
      <c r="J473" s="17"/>
      <c r="K473" s="17"/>
    </row>
    <row r="474" spans="1:11" ht="12.95" customHeight="1">
      <c r="A474" s="77"/>
      <c r="B474" s="62" t="s">
        <v>239</v>
      </c>
      <c r="C474" s="37"/>
      <c r="D474" s="37" t="s">
        <v>152</v>
      </c>
      <c r="E474" s="38">
        <v>4626</v>
      </c>
      <c r="F474" s="39"/>
      <c r="G474" s="40">
        <v>1</v>
      </c>
      <c r="H474" s="53">
        <f>(Tabelle6[[#This Row],[ca. Anzahl
Titel pro Jahr]]*13.3)</f>
        <v>13.3</v>
      </c>
      <c r="I474" s="41">
        <f t="shared" si="10"/>
        <v>0</v>
      </c>
      <c r="J474" s="17"/>
      <c r="K474" s="17"/>
    </row>
    <row r="475" spans="1:11" ht="12.95" customHeight="1">
      <c r="A475" s="77"/>
      <c r="B475" s="62" t="s">
        <v>240</v>
      </c>
      <c r="C475" s="37"/>
      <c r="D475" s="37" t="s">
        <v>14</v>
      </c>
      <c r="E475" s="38">
        <v>167</v>
      </c>
      <c r="F475" s="39"/>
      <c r="G475" s="40">
        <v>4</v>
      </c>
      <c r="H475" s="53">
        <f>(Tabelle6[[#This Row],[ca. Anzahl
Titel pro Jahr]]*21.9)</f>
        <v>87.6</v>
      </c>
      <c r="I475" s="41">
        <f t="shared" si="10"/>
        <v>0</v>
      </c>
      <c r="J475" s="17"/>
      <c r="K475" s="17"/>
    </row>
    <row r="476" spans="1:11" ht="12.95" customHeight="1">
      <c r="A476" s="77"/>
      <c r="B476" s="62" t="s">
        <v>599</v>
      </c>
      <c r="C476" s="37"/>
      <c r="D476" s="37" t="s">
        <v>600</v>
      </c>
      <c r="E476" s="38">
        <v>5664</v>
      </c>
      <c r="F476" s="39"/>
      <c r="G476" s="40">
        <v>1</v>
      </c>
      <c r="H476" s="53">
        <f>(Tabelle6[[#This Row],[ca. Anzahl
Titel pro Jahr]]*21.9)</f>
        <v>21.9</v>
      </c>
      <c r="I476" s="41">
        <f t="shared" si="10"/>
        <v>0</v>
      </c>
      <c r="J476" s="17"/>
      <c r="K476" s="17"/>
    </row>
    <row r="477" spans="1:11" ht="12.95" customHeight="1">
      <c r="A477" s="77"/>
      <c r="B477" s="62" t="s">
        <v>175</v>
      </c>
      <c r="C477" s="37"/>
      <c r="D477" s="37" t="s">
        <v>14</v>
      </c>
      <c r="E477" s="38">
        <v>4985</v>
      </c>
      <c r="F477" s="39"/>
      <c r="G477" s="40">
        <v>1</v>
      </c>
      <c r="H477" s="53">
        <v>33.5</v>
      </c>
      <c r="I477" s="41">
        <f t="shared" si="10"/>
        <v>0</v>
      </c>
      <c r="J477" s="17"/>
      <c r="K477" s="17"/>
    </row>
    <row r="478" spans="1:11" ht="12.95" customHeight="1">
      <c r="A478" s="77"/>
      <c r="B478" s="62" t="s">
        <v>598</v>
      </c>
      <c r="C478" s="37"/>
      <c r="D478" s="37" t="s">
        <v>14</v>
      </c>
      <c r="E478" s="38">
        <v>4771</v>
      </c>
      <c r="F478" s="39"/>
      <c r="G478" s="40">
        <v>3</v>
      </c>
      <c r="H478" s="53">
        <v>71.7</v>
      </c>
      <c r="I478" s="41">
        <f t="shared" si="10"/>
        <v>0</v>
      </c>
      <c r="J478" s="17"/>
      <c r="K478" s="17"/>
    </row>
    <row r="479" spans="1:11" ht="12.95" customHeight="1">
      <c r="A479" s="77"/>
      <c r="B479" s="62" t="s">
        <v>400</v>
      </c>
      <c r="C479" s="37"/>
      <c r="D479" s="37" t="s">
        <v>48</v>
      </c>
      <c r="E479" s="38">
        <v>5273</v>
      </c>
      <c r="F479" s="39"/>
      <c r="G479" s="40">
        <v>1</v>
      </c>
      <c r="H479" s="53">
        <f>(Tabelle6[[#This Row],[ca. Anzahl
Titel pro Jahr]]*21.9)</f>
        <v>21.9</v>
      </c>
      <c r="I479" s="41">
        <f t="shared" si="10"/>
        <v>0</v>
      </c>
      <c r="J479" s="17"/>
      <c r="K479" s="17"/>
    </row>
    <row r="480" spans="1:11" ht="12.95" customHeight="1">
      <c r="A480" s="18"/>
      <c r="B480" s="64"/>
      <c r="C480" s="19"/>
      <c r="D480" s="19"/>
      <c r="E480" s="20"/>
      <c r="G480" s="21"/>
      <c r="H480" s="70"/>
      <c r="I480" s="22"/>
      <c r="J480" s="24"/>
      <c r="K480" s="24"/>
    </row>
    <row r="481" spans="1:11" ht="12.95" customHeight="1">
      <c r="H481" s="71" t="s">
        <v>342</v>
      </c>
      <c r="I481" s="35">
        <f>SUM(I461:I479)</f>
        <v>0</v>
      </c>
    </row>
    <row r="482" spans="1:11" ht="12.95" customHeight="1"/>
    <row r="483" spans="1:11" ht="18" customHeight="1">
      <c r="A483" s="97" t="s">
        <v>1062</v>
      </c>
      <c r="B483" s="98"/>
      <c r="C483" s="98"/>
      <c r="D483" s="98"/>
      <c r="E483" s="98"/>
      <c r="F483" s="98"/>
      <c r="G483" s="98"/>
      <c r="H483" s="98"/>
      <c r="I483" s="98"/>
      <c r="J483" s="98"/>
      <c r="K483" s="99"/>
    </row>
    <row r="484" spans="1:11" s="16" customFormat="1" ht="48.75" customHeight="1">
      <c r="A484" s="29" t="s">
        <v>5</v>
      </c>
      <c r="B484" s="61" t="s">
        <v>6</v>
      </c>
      <c r="C484" s="74" t="s">
        <v>638</v>
      </c>
      <c r="D484" s="31" t="s">
        <v>7</v>
      </c>
      <c r="E484" s="32" t="s">
        <v>8</v>
      </c>
      <c r="F484" s="31" t="s">
        <v>9</v>
      </c>
      <c r="G484" s="33" t="s">
        <v>10</v>
      </c>
      <c r="H484" s="69" t="s">
        <v>11</v>
      </c>
      <c r="I484" s="33" t="s">
        <v>347</v>
      </c>
      <c r="J484" s="33" t="s">
        <v>12</v>
      </c>
      <c r="K484" s="33" t="s">
        <v>13</v>
      </c>
    </row>
    <row r="485" spans="1:11" ht="12.95" customHeight="1">
      <c r="A485" s="77"/>
      <c r="B485" s="62" t="s">
        <v>660</v>
      </c>
      <c r="C485" s="37"/>
      <c r="D485" s="54" t="s">
        <v>661</v>
      </c>
      <c r="E485" s="38">
        <v>5764</v>
      </c>
      <c r="F485" s="55" t="s">
        <v>185</v>
      </c>
      <c r="G485" s="40">
        <v>1</v>
      </c>
      <c r="H485" s="53">
        <f>(Tabelle7[[#This Row],[ca. Anzahl
Titel pro Jahr]]*18.7)</f>
        <v>18.7</v>
      </c>
      <c r="I485" s="41">
        <f t="shared" ref="I485:I506" si="11">A485*H485</f>
        <v>0</v>
      </c>
      <c r="J485" s="17"/>
      <c r="K485" s="17"/>
    </row>
    <row r="486" spans="1:11" ht="12.95" customHeight="1">
      <c r="A486" s="77"/>
      <c r="B486" s="62" t="s">
        <v>802</v>
      </c>
      <c r="C486" s="37"/>
      <c r="D486" s="37" t="s">
        <v>803</v>
      </c>
      <c r="E486" s="38">
        <v>4590</v>
      </c>
      <c r="F486" s="55" t="s">
        <v>334</v>
      </c>
      <c r="G486" s="43">
        <v>1</v>
      </c>
      <c r="H486" s="53">
        <v>25.5</v>
      </c>
      <c r="I486" s="41">
        <f t="shared" si="11"/>
        <v>0</v>
      </c>
      <c r="J486" s="17"/>
      <c r="K486" s="17"/>
    </row>
    <row r="487" spans="1:11" ht="12.95" customHeight="1">
      <c r="A487" s="77"/>
      <c r="B487" s="62" t="s">
        <v>241</v>
      </c>
      <c r="C487" s="37"/>
      <c r="D487" s="54" t="s">
        <v>31</v>
      </c>
      <c r="E487" s="38">
        <v>2592</v>
      </c>
      <c r="F487" s="55" t="s">
        <v>219</v>
      </c>
      <c r="G487" s="40">
        <v>1</v>
      </c>
      <c r="H487" s="53">
        <v>9.9</v>
      </c>
      <c r="I487" s="41">
        <f t="shared" si="11"/>
        <v>0</v>
      </c>
      <c r="J487" s="17"/>
      <c r="K487" s="17"/>
    </row>
    <row r="488" spans="1:11" ht="12.95" customHeight="1">
      <c r="A488" s="77"/>
      <c r="B488" s="62" t="s">
        <v>242</v>
      </c>
      <c r="C488" s="37"/>
      <c r="D488" s="37" t="s">
        <v>31</v>
      </c>
      <c r="E488" s="38">
        <v>4387</v>
      </c>
      <c r="F488" s="39" t="s">
        <v>219</v>
      </c>
      <c r="G488" s="43">
        <v>1</v>
      </c>
      <c r="H488" s="53">
        <v>13.6</v>
      </c>
      <c r="I488" s="41">
        <f t="shared" si="11"/>
        <v>0</v>
      </c>
      <c r="J488" s="17"/>
      <c r="K488" s="17"/>
    </row>
    <row r="489" spans="1:11" ht="12.95" customHeight="1">
      <c r="A489" s="77"/>
      <c r="B489" s="62" t="s">
        <v>474</v>
      </c>
      <c r="C489" s="37"/>
      <c r="D489" s="37" t="s">
        <v>58</v>
      </c>
      <c r="E489" s="38">
        <v>5416</v>
      </c>
      <c r="F489" s="39" t="s">
        <v>476</v>
      </c>
      <c r="G489" s="43">
        <v>2</v>
      </c>
      <c r="H489" s="53">
        <f>(Tabelle7[[#This Row],[ca. Anzahl
Titel pro Jahr]]*35.9)</f>
        <v>71.8</v>
      </c>
      <c r="I489" s="41">
        <f t="shared" si="11"/>
        <v>0</v>
      </c>
      <c r="J489" s="17"/>
      <c r="K489" s="17"/>
    </row>
    <row r="490" spans="1:11" ht="12.95" customHeight="1">
      <c r="A490" s="77"/>
      <c r="B490" s="62" t="s">
        <v>357</v>
      </c>
      <c r="C490" s="37"/>
      <c r="D490" s="54" t="s">
        <v>358</v>
      </c>
      <c r="E490" s="38">
        <v>5179</v>
      </c>
      <c r="F490" s="55" t="s">
        <v>219</v>
      </c>
      <c r="G490" s="40">
        <v>4</v>
      </c>
      <c r="H490" s="53">
        <f>(Tabelle7[[#This Row],[ca. Anzahl
Titel pro Jahr]]*9.9)</f>
        <v>39.6</v>
      </c>
      <c r="I490" s="41">
        <f t="shared" si="11"/>
        <v>0</v>
      </c>
      <c r="J490" s="17"/>
      <c r="K490" s="17"/>
    </row>
    <row r="491" spans="1:11" ht="12.95" customHeight="1">
      <c r="A491" s="77"/>
      <c r="B491" s="62" t="s">
        <v>243</v>
      </c>
      <c r="C491" s="37"/>
      <c r="D491" s="37" t="s">
        <v>244</v>
      </c>
      <c r="E491" s="38">
        <v>4764</v>
      </c>
      <c r="F491" s="39" t="s">
        <v>25</v>
      </c>
      <c r="G491" s="43">
        <v>1</v>
      </c>
      <c r="H491" s="53">
        <f>(Tabelle7[[#This Row],[ca. Anzahl
Titel pro Jahr]]*18.7)</f>
        <v>18.7</v>
      </c>
      <c r="I491" s="41">
        <f t="shared" si="11"/>
        <v>0</v>
      </c>
      <c r="J491" s="17"/>
      <c r="K491" s="17"/>
    </row>
    <row r="492" spans="1:11" ht="12.95" customHeight="1">
      <c r="A492" s="77"/>
      <c r="B492" s="62" t="s">
        <v>804</v>
      </c>
      <c r="C492" s="37"/>
      <c r="D492" s="37" t="s">
        <v>48</v>
      </c>
      <c r="E492" s="38">
        <v>5417</v>
      </c>
      <c r="F492" s="55" t="s">
        <v>25</v>
      </c>
      <c r="G492" s="43">
        <v>1</v>
      </c>
      <c r="H492" s="53">
        <v>28.5</v>
      </c>
      <c r="I492" s="41">
        <f t="shared" si="11"/>
        <v>0</v>
      </c>
      <c r="J492" s="17"/>
      <c r="K492" s="17"/>
    </row>
    <row r="493" spans="1:11" ht="12.95" customHeight="1">
      <c r="A493" s="77"/>
      <c r="B493" s="62" t="s">
        <v>402</v>
      </c>
      <c r="C493" s="37"/>
      <c r="D493" s="54" t="s">
        <v>31</v>
      </c>
      <c r="E493" s="38">
        <v>5276</v>
      </c>
      <c r="F493" s="55" t="s">
        <v>25</v>
      </c>
      <c r="G493" s="40">
        <v>1</v>
      </c>
      <c r="H493" s="53">
        <f>(Tabelle7[[#This Row],[ca. Anzahl
Titel pro Jahr]]*22.9)</f>
        <v>22.9</v>
      </c>
      <c r="I493" s="41">
        <f t="shared" si="11"/>
        <v>0</v>
      </c>
      <c r="J493" s="17"/>
      <c r="K493" s="17"/>
    </row>
    <row r="494" spans="1:11" ht="12.95" customHeight="1">
      <c r="A494" s="77"/>
      <c r="B494" s="62" t="s">
        <v>246</v>
      </c>
      <c r="C494" s="37"/>
      <c r="D494" s="37" t="s">
        <v>247</v>
      </c>
      <c r="E494" s="38">
        <v>4652</v>
      </c>
      <c r="F494" s="39" t="s">
        <v>57</v>
      </c>
      <c r="G494" s="43">
        <v>1</v>
      </c>
      <c r="H494" s="53">
        <v>25.5</v>
      </c>
      <c r="I494" s="41">
        <f t="shared" si="11"/>
        <v>0</v>
      </c>
      <c r="J494" s="17"/>
      <c r="K494" s="17"/>
    </row>
    <row r="495" spans="1:11" ht="12.95" customHeight="1">
      <c r="A495" s="77"/>
      <c r="B495" s="62" t="s">
        <v>439</v>
      </c>
      <c r="C495" s="37"/>
      <c r="D495" s="54" t="s">
        <v>15</v>
      </c>
      <c r="E495" s="38">
        <v>5354</v>
      </c>
      <c r="F495" s="55" t="s">
        <v>399</v>
      </c>
      <c r="G495" s="40">
        <v>1</v>
      </c>
      <c r="H495" s="53">
        <f>(Tabelle7[[#This Row],[ca. Anzahl
Titel pro Jahr]]*25.3)</f>
        <v>25.3</v>
      </c>
      <c r="I495" s="41">
        <f t="shared" si="11"/>
        <v>0</v>
      </c>
      <c r="J495" s="17"/>
      <c r="K495" s="17"/>
    </row>
    <row r="496" spans="1:11" ht="12.95" customHeight="1">
      <c r="A496" s="77"/>
      <c r="B496" s="62" t="s">
        <v>248</v>
      </c>
      <c r="C496" s="37"/>
      <c r="D496" s="37" t="s">
        <v>134</v>
      </c>
      <c r="E496" s="38">
        <v>4966</v>
      </c>
      <c r="F496" s="39" t="s">
        <v>245</v>
      </c>
      <c r="G496" s="43">
        <v>1</v>
      </c>
      <c r="H496" s="53">
        <v>24.5</v>
      </c>
      <c r="I496" s="41">
        <f t="shared" si="11"/>
        <v>0</v>
      </c>
      <c r="J496" s="17"/>
      <c r="K496" s="17"/>
    </row>
    <row r="497" spans="1:11" ht="12.95" customHeight="1">
      <c r="A497" s="77"/>
      <c r="B497" s="62" t="s">
        <v>502</v>
      </c>
      <c r="C497" s="37"/>
      <c r="D497" s="37" t="s">
        <v>384</v>
      </c>
      <c r="E497" s="38">
        <v>5499</v>
      </c>
      <c r="F497" s="39" t="s">
        <v>25</v>
      </c>
      <c r="G497" s="43">
        <v>1</v>
      </c>
      <c r="H497" s="53">
        <v>32</v>
      </c>
      <c r="I497" s="41">
        <f t="shared" si="11"/>
        <v>0</v>
      </c>
      <c r="J497" s="17"/>
      <c r="K497" s="17"/>
    </row>
    <row r="498" spans="1:11" ht="12.95" customHeight="1">
      <c r="A498" s="77"/>
      <c r="B498" s="62" t="s">
        <v>658</v>
      </c>
      <c r="C498" s="37"/>
      <c r="D498" s="54" t="s">
        <v>15</v>
      </c>
      <c r="E498" s="38">
        <v>5765</v>
      </c>
      <c r="F498" s="55" t="s">
        <v>659</v>
      </c>
      <c r="G498" s="40">
        <v>1</v>
      </c>
      <c r="H498" s="53">
        <f>(Tabelle7[[#This Row],[ca. Anzahl
Titel pro Jahr]]*17.3)</f>
        <v>17.3</v>
      </c>
      <c r="I498" s="41">
        <f t="shared" si="11"/>
        <v>0</v>
      </c>
      <c r="J498" s="17"/>
      <c r="K498" s="17"/>
    </row>
    <row r="499" spans="1:11" ht="12.95" customHeight="1">
      <c r="A499" s="77"/>
      <c r="B499" s="62" t="s">
        <v>249</v>
      </c>
      <c r="C499" s="37"/>
      <c r="D499" s="37" t="s">
        <v>250</v>
      </c>
      <c r="E499" s="38">
        <v>1064</v>
      </c>
      <c r="F499" s="39" t="s">
        <v>219</v>
      </c>
      <c r="G499" s="43">
        <v>3</v>
      </c>
      <c r="H499" s="53">
        <f>(Tabelle7[[#This Row],[ca. Anzahl
Titel pro Jahr]]*8.7)</f>
        <v>26.099999999999998</v>
      </c>
      <c r="I499" s="41">
        <f t="shared" si="11"/>
        <v>0</v>
      </c>
      <c r="J499" s="17"/>
      <c r="K499" s="17"/>
    </row>
    <row r="500" spans="1:11" ht="12.95" customHeight="1">
      <c r="A500" s="77"/>
      <c r="B500" s="62" t="s">
        <v>440</v>
      </c>
      <c r="C500" s="37"/>
      <c r="D500" s="54" t="s">
        <v>15</v>
      </c>
      <c r="E500" s="38">
        <v>5321</v>
      </c>
      <c r="F500" s="55" t="s">
        <v>441</v>
      </c>
      <c r="G500" s="40">
        <v>1</v>
      </c>
      <c r="H500" s="53">
        <f>(Tabelle7[[#This Row],[ca. Anzahl
Titel pro Jahr]]*22.9)</f>
        <v>22.9</v>
      </c>
      <c r="I500" s="41">
        <f t="shared" si="11"/>
        <v>0</v>
      </c>
      <c r="J500" s="17"/>
      <c r="K500" s="17"/>
    </row>
    <row r="501" spans="1:11" ht="12.95" customHeight="1">
      <c r="A501" s="77"/>
      <c r="B501" s="62" t="s">
        <v>806</v>
      </c>
      <c r="C501" s="37"/>
      <c r="D501" s="37" t="s">
        <v>31</v>
      </c>
      <c r="E501" s="38">
        <v>5728</v>
      </c>
      <c r="F501" s="55" t="s">
        <v>890</v>
      </c>
      <c r="G501" s="43">
        <v>2</v>
      </c>
      <c r="H501" s="53">
        <v>41</v>
      </c>
      <c r="I501" s="41">
        <f t="shared" si="11"/>
        <v>0</v>
      </c>
      <c r="J501" s="17"/>
      <c r="K501" s="17"/>
    </row>
    <row r="502" spans="1:11" ht="12.95" customHeight="1">
      <c r="A502" s="77"/>
      <c r="B502" s="62" t="s">
        <v>807</v>
      </c>
      <c r="C502" s="37"/>
      <c r="D502" s="54" t="s">
        <v>31</v>
      </c>
      <c r="E502" s="38">
        <v>1127</v>
      </c>
      <c r="F502" s="55" t="s">
        <v>891</v>
      </c>
      <c r="G502" s="40">
        <v>1</v>
      </c>
      <c r="H502" s="53">
        <v>22.9</v>
      </c>
      <c r="I502" s="41">
        <f t="shared" si="11"/>
        <v>0</v>
      </c>
      <c r="J502" s="17"/>
      <c r="K502" s="17"/>
    </row>
    <row r="503" spans="1:11" ht="12.95" customHeight="1">
      <c r="A503" s="77"/>
      <c r="B503" s="62" t="s">
        <v>473</v>
      </c>
      <c r="C503" s="37"/>
      <c r="D503" s="54" t="s">
        <v>61</v>
      </c>
      <c r="E503" s="38">
        <v>5433</v>
      </c>
      <c r="F503" s="55" t="s">
        <v>475</v>
      </c>
      <c r="G503" s="40">
        <v>1</v>
      </c>
      <c r="H503" s="53">
        <v>23.5</v>
      </c>
      <c r="I503" s="41">
        <f t="shared" si="11"/>
        <v>0</v>
      </c>
      <c r="J503" s="17"/>
      <c r="K503" s="17"/>
    </row>
    <row r="504" spans="1:11" ht="12.95" customHeight="1">
      <c r="A504" s="77"/>
      <c r="B504" s="62" t="s">
        <v>252</v>
      </c>
      <c r="C504" s="37"/>
      <c r="D504" s="37" t="s">
        <v>17</v>
      </c>
      <c r="E504" s="38">
        <v>2198</v>
      </c>
      <c r="F504" s="39" t="s">
        <v>25</v>
      </c>
      <c r="G504" s="43">
        <v>1</v>
      </c>
      <c r="H504" s="53">
        <f>(Tabelle7[[#This Row],[ca. Anzahl
Titel pro Jahr]]*26.9)</f>
        <v>26.9</v>
      </c>
      <c r="I504" s="41">
        <f t="shared" si="11"/>
        <v>0</v>
      </c>
      <c r="J504" s="17"/>
      <c r="K504" s="17"/>
    </row>
    <row r="505" spans="1:11" ht="12.95" customHeight="1">
      <c r="A505" s="77"/>
      <c r="B505" s="62" t="s">
        <v>808</v>
      </c>
      <c r="C505" s="37"/>
      <c r="D505" s="37" t="s">
        <v>809</v>
      </c>
      <c r="E505" s="38">
        <v>5820</v>
      </c>
      <c r="F505" s="55" t="s">
        <v>892</v>
      </c>
      <c r="G505" s="43">
        <v>1</v>
      </c>
      <c r="H505" s="53">
        <v>22.9</v>
      </c>
      <c r="I505" s="41">
        <f t="shared" si="11"/>
        <v>0</v>
      </c>
      <c r="J505" s="17"/>
      <c r="K505" s="17"/>
    </row>
    <row r="506" spans="1:11" ht="12.95" customHeight="1">
      <c r="A506" s="77"/>
      <c r="B506" s="62" t="s">
        <v>810</v>
      </c>
      <c r="C506" s="37"/>
      <c r="D506" s="54" t="s">
        <v>17</v>
      </c>
      <c r="E506" s="38">
        <v>5617</v>
      </c>
      <c r="F506" s="55" t="s">
        <v>355</v>
      </c>
      <c r="G506" s="40">
        <v>1</v>
      </c>
      <c r="H506" s="53">
        <v>22.9</v>
      </c>
      <c r="I506" s="41">
        <f t="shared" si="11"/>
        <v>0</v>
      </c>
      <c r="J506" s="17"/>
      <c r="K506" s="17"/>
    </row>
    <row r="507" spans="1:11" ht="12.95" customHeight="1">
      <c r="A507" s="18"/>
      <c r="B507" s="65"/>
      <c r="C507" s="19"/>
      <c r="D507" s="19"/>
      <c r="E507" s="20"/>
      <c r="G507" s="25"/>
      <c r="H507" s="70"/>
      <c r="I507" s="22"/>
      <c r="J507" s="24"/>
      <c r="K507" s="24"/>
    </row>
    <row r="508" spans="1:11" ht="12.95" customHeight="1">
      <c r="A508" s="9"/>
      <c r="C508" s="9"/>
      <c r="D508" s="9"/>
      <c r="E508" s="9"/>
      <c r="F508" s="9"/>
      <c r="G508" s="9"/>
      <c r="H508" s="71" t="s">
        <v>343</v>
      </c>
      <c r="I508" s="35">
        <f>SUM(I485:I506)</f>
        <v>0</v>
      </c>
    </row>
    <row r="509" spans="1:11" ht="12.95" customHeight="1">
      <c r="A509" s="9"/>
      <c r="C509" s="9"/>
      <c r="D509" s="9"/>
      <c r="E509" s="9"/>
      <c r="F509" s="9"/>
      <c r="G509" s="9"/>
      <c r="H509" s="71"/>
      <c r="I509" s="35"/>
    </row>
    <row r="510" spans="1:11" ht="12.95" customHeight="1">
      <c r="A510" s="9"/>
      <c r="C510" s="9"/>
      <c r="D510" s="9"/>
      <c r="E510" s="9"/>
      <c r="F510" s="9"/>
      <c r="G510" s="9"/>
    </row>
    <row r="511" spans="1:11" ht="18" customHeight="1">
      <c r="A511" s="97" t="s">
        <v>1063</v>
      </c>
      <c r="B511" s="98"/>
      <c r="C511" s="98"/>
      <c r="D511" s="98"/>
      <c r="E511" s="98"/>
      <c r="F511" s="98"/>
      <c r="G511" s="98"/>
      <c r="H511" s="98"/>
      <c r="I511" s="98"/>
      <c r="J511" s="98"/>
      <c r="K511" s="99"/>
    </row>
    <row r="512" spans="1:11" s="16" customFormat="1" ht="45.75" customHeight="1">
      <c r="A512" s="29" t="s">
        <v>5</v>
      </c>
      <c r="B512" s="61" t="s">
        <v>6</v>
      </c>
      <c r="C512" s="30" t="s">
        <v>405</v>
      </c>
      <c r="D512" s="31" t="s">
        <v>7</v>
      </c>
      <c r="E512" s="32" t="s">
        <v>8</v>
      </c>
      <c r="F512" s="31" t="s">
        <v>9</v>
      </c>
      <c r="G512" s="33" t="s">
        <v>10</v>
      </c>
      <c r="H512" s="69" t="s">
        <v>11</v>
      </c>
      <c r="I512" s="33" t="s">
        <v>347</v>
      </c>
      <c r="J512" s="33" t="s">
        <v>12</v>
      </c>
      <c r="K512" s="33" t="s">
        <v>13</v>
      </c>
    </row>
    <row r="513" spans="1:11" ht="12.95" customHeight="1">
      <c r="A513" s="77"/>
      <c r="B513" s="62" t="s">
        <v>253</v>
      </c>
      <c r="C513" s="37"/>
      <c r="D513" s="37" t="s">
        <v>152</v>
      </c>
      <c r="E513" s="38">
        <v>4881</v>
      </c>
      <c r="F513" s="39"/>
      <c r="G513" s="40">
        <v>1</v>
      </c>
      <c r="H513" s="53">
        <f>(Tabelle8[[#This Row],[ca. Anzahl
Titel pro Jahr]]*28.3)</f>
        <v>28.3</v>
      </c>
      <c r="I513" s="41">
        <f t="shared" ref="I513:I519" si="12">A513*H513</f>
        <v>0</v>
      </c>
      <c r="J513" s="17"/>
      <c r="K513" s="17"/>
    </row>
    <row r="514" spans="1:11" ht="12.95" customHeight="1">
      <c r="A514" s="77"/>
      <c r="B514" s="62" t="s">
        <v>254</v>
      </c>
      <c r="C514" s="37"/>
      <c r="D514" s="37" t="s">
        <v>15</v>
      </c>
      <c r="E514" s="38">
        <v>468</v>
      </c>
      <c r="F514" s="39"/>
      <c r="G514" s="40">
        <v>1</v>
      </c>
      <c r="H514" s="53">
        <v>29.9</v>
      </c>
      <c r="I514" s="41">
        <f t="shared" si="12"/>
        <v>0</v>
      </c>
      <c r="J514" s="17"/>
      <c r="K514" s="17"/>
    </row>
    <row r="515" spans="1:11" ht="12.95" customHeight="1">
      <c r="A515" s="77"/>
      <c r="B515" s="62" t="s">
        <v>967</v>
      </c>
      <c r="C515" s="37"/>
      <c r="D515" s="54" t="s">
        <v>15</v>
      </c>
      <c r="E515" s="38">
        <v>4665</v>
      </c>
      <c r="F515" s="39"/>
      <c r="G515" s="40">
        <v>1</v>
      </c>
      <c r="H515" s="53">
        <v>24.9</v>
      </c>
      <c r="I515" s="41">
        <f>A515*H515</f>
        <v>0</v>
      </c>
      <c r="J515" s="17"/>
      <c r="K515" s="17"/>
    </row>
    <row r="516" spans="1:11" ht="12.95" customHeight="1">
      <c r="A516" s="77"/>
      <c r="B516" s="62" t="s">
        <v>235</v>
      </c>
      <c r="C516" s="37"/>
      <c r="D516" s="54" t="s">
        <v>236</v>
      </c>
      <c r="E516" s="38">
        <v>5052</v>
      </c>
      <c r="F516" s="39"/>
      <c r="G516" s="40">
        <v>3</v>
      </c>
      <c r="H516" s="53">
        <v>64.5</v>
      </c>
      <c r="I516" s="41">
        <f t="shared" si="12"/>
        <v>0</v>
      </c>
      <c r="J516" s="17"/>
      <c r="K516" s="17"/>
    </row>
    <row r="517" spans="1:11" ht="12.95" customHeight="1">
      <c r="A517" s="77"/>
      <c r="B517" s="62" t="s">
        <v>805</v>
      </c>
      <c r="C517" s="37"/>
      <c r="D517" s="37" t="s">
        <v>255</v>
      </c>
      <c r="E517" s="38">
        <v>4615</v>
      </c>
      <c r="F517" s="39"/>
      <c r="G517" s="40">
        <v>4</v>
      </c>
      <c r="H517" s="53">
        <v>72</v>
      </c>
      <c r="I517" s="41">
        <f t="shared" si="12"/>
        <v>0</v>
      </c>
      <c r="J517" s="17"/>
      <c r="K517" s="17"/>
    </row>
    <row r="518" spans="1:11" ht="12.95" customHeight="1">
      <c r="A518" s="77"/>
      <c r="B518" s="62" t="s">
        <v>579</v>
      </c>
      <c r="C518" s="37"/>
      <c r="D518" s="37" t="s">
        <v>256</v>
      </c>
      <c r="E518" s="38">
        <v>4617</v>
      </c>
      <c r="F518" s="39"/>
      <c r="G518" s="40">
        <v>1</v>
      </c>
      <c r="H518" s="53">
        <f>(Tabelle8[[#This Row],[ca. Anzahl
Titel pro Jahr]]*19.3)</f>
        <v>19.3</v>
      </c>
      <c r="I518" s="41">
        <f t="shared" si="12"/>
        <v>0</v>
      </c>
      <c r="J518" s="17"/>
      <c r="K518" s="17"/>
    </row>
    <row r="519" spans="1:11" ht="12.95" customHeight="1">
      <c r="A519" s="77"/>
      <c r="B519" s="62" t="s">
        <v>442</v>
      </c>
      <c r="C519" s="37"/>
      <c r="D519" s="37" t="s">
        <v>152</v>
      </c>
      <c r="E519" s="38">
        <v>5312</v>
      </c>
      <c r="F519" s="39"/>
      <c r="G519" s="40">
        <v>1</v>
      </c>
      <c r="H519" s="53">
        <f>(Tabelle8[[#This Row],[ca. Anzahl
Titel pro Jahr]]*24.3)</f>
        <v>24.3</v>
      </c>
      <c r="I519" s="41">
        <f t="shared" si="12"/>
        <v>0</v>
      </c>
      <c r="J519" s="17"/>
      <c r="K519" s="17"/>
    </row>
    <row r="520" spans="1:11" ht="12.95" customHeight="1">
      <c r="A520" s="18"/>
      <c r="B520" s="64"/>
      <c r="C520" s="19"/>
      <c r="D520" s="19"/>
      <c r="E520" s="20"/>
      <c r="G520" s="21"/>
      <c r="H520" s="70"/>
      <c r="I520" s="22"/>
      <c r="J520" s="24"/>
      <c r="K520" s="24"/>
    </row>
    <row r="521" spans="1:11" ht="12.95" customHeight="1">
      <c r="A521" s="9"/>
      <c r="C521" s="9"/>
      <c r="D521" s="9"/>
      <c r="E521" s="9"/>
      <c r="F521" s="9"/>
      <c r="G521" s="9"/>
      <c r="H521" s="71" t="s">
        <v>344</v>
      </c>
      <c r="I521" s="35">
        <f>SUM(I513:I519)</f>
        <v>0</v>
      </c>
    </row>
    <row r="522" spans="1:11" ht="12.95" customHeight="1">
      <c r="A522" s="9"/>
      <c r="C522" s="9"/>
      <c r="D522" s="9"/>
      <c r="E522" s="9"/>
      <c r="F522" s="9"/>
      <c r="G522" s="9"/>
    </row>
    <row r="523" spans="1:11" ht="18" customHeight="1">
      <c r="A523" s="97" t="s">
        <v>1064</v>
      </c>
      <c r="B523" s="98"/>
      <c r="C523" s="98"/>
      <c r="D523" s="98"/>
      <c r="E523" s="98"/>
      <c r="F523" s="98"/>
      <c r="G523" s="98"/>
      <c r="H523" s="98"/>
      <c r="I523" s="98"/>
      <c r="J523" s="98"/>
      <c r="K523" s="99"/>
    </row>
    <row r="524" spans="1:11" s="16" customFormat="1" ht="47.25" customHeight="1">
      <c r="A524" s="29" t="s">
        <v>5</v>
      </c>
      <c r="B524" s="61" t="s">
        <v>6</v>
      </c>
      <c r="C524" s="30" t="s">
        <v>405</v>
      </c>
      <c r="D524" s="31" t="s">
        <v>7</v>
      </c>
      <c r="E524" s="32" t="s">
        <v>8</v>
      </c>
      <c r="F524" s="31" t="s">
        <v>9</v>
      </c>
      <c r="G524" s="33" t="s">
        <v>10</v>
      </c>
      <c r="H524" s="69" t="s">
        <v>11</v>
      </c>
      <c r="I524" s="33" t="s">
        <v>347</v>
      </c>
      <c r="J524" s="33" t="s">
        <v>12</v>
      </c>
      <c r="K524" s="33" t="s">
        <v>13</v>
      </c>
    </row>
    <row r="525" spans="1:11" ht="12.95" customHeight="1">
      <c r="A525" s="77"/>
      <c r="B525" s="63" t="s">
        <v>561</v>
      </c>
      <c r="C525" s="44"/>
      <c r="D525" s="44" t="s">
        <v>562</v>
      </c>
      <c r="E525" s="45">
        <v>5554</v>
      </c>
      <c r="F525" s="39" t="s">
        <v>57</v>
      </c>
      <c r="G525" s="52">
        <v>1</v>
      </c>
      <c r="H525" s="73">
        <v>18.5</v>
      </c>
      <c r="I525" s="41">
        <f t="shared" ref="I525:I559" si="13">A525*H525</f>
        <v>0</v>
      </c>
      <c r="J525" s="17"/>
      <c r="K525" s="17"/>
    </row>
    <row r="526" spans="1:11" ht="12.95" customHeight="1">
      <c r="A526" s="77"/>
      <c r="B526" s="80" t="s">
        <v>924</v>
      </c>
      <c r="C526" s="44"/>
      <c r="D526" s="91" t="s">
        <v>31</v>
      </c>
      <c r="E526" s="45">
        <v>5943</v>
      </c>
      <c r="F526" s="55" t="s">
        <v>925</v>
      </c>
      <c r="G526" s="52">
        <v>1</v>
      </c>
      <c r="H526" s="73">
        <v>25.9</v>
      </c>
      <c r="I526" s="41">
        <f t="shared" si="13"/>
        <v>0</v>
      </c>
      <c r="J526" s="17"/>
      <c r="K526" s="17"/>
    </row>
    <row r="527" spans="1:11" ht="12.95" customHeight="1">
      <c r="A527" s="77"/>
      <c r="B527" s="63" t="s">
        <v>811</v>
      </c>
      <c r="C527" s="44"/>
      <c r="D527" s="44" t="s">
        <v>812</v>
      </c>
      <c r="E527" s="45">
        <v>5888</v>
      </c>
      <c r="F527" s="55" t="s">
        <v>445</v>
      </c>
      <c r="G527" s="52">
        <v>1</v>
      </c>
      <c r="H527" s="73">
        <v>23.9</v>
      </c>
      <c r="I527" s="41">
        <f t="shared" si="13"/>
        <v>0</v>
      </c>
      <c r="J527" s="17"/>
      <c r="K527" s="17"/>
    </row>
    <row r="528" spans="1:11" ht="12.95" customHeight="1">
      <c r="A528" s="77"/>
      <c r="B528" s="80" t="s">
        <v>928</v>
      </c>
      <c r="C528" s="44"/>
      <c r="D528" s="91" t="s">
        <v>616</v>
      </c>
      <c r="E528" s="45">
        <v>5960</v>
      </c>
      <c r="F528" s="55" t="s">
        <v>929</v>
      </c>
      <c r="G528" s="52">
        <v>1</v>
      </c>
      <c r="H528" s="73">
        <v>22.9</v>
      </c>
      <c r="I528" s="41">
        <f t="shared" si="13"/>
        <v>0</v>
      </c>
      <c r="J528" s="17"/>
      <c r="K528" s="17"/>
    </row>
    <row r="529" spans="1:11" ht="12.95" customHeight="1">
      <c r="A529" s="77"/>
      <c r="B529" s="63" t="s">
        <v>257</v>
      </c>
      <c r="C529" s="44"/>
      <c r="D529" s="44" t="s">
        <v>258</v>
      </c>
      <c r="E529" s="45">
        <v>4990</v>
      </c>
      <c r="F529" s="39" t="s">
        <v>57</v>
      </c>
      <c r="G529" s="52">
        <v>1</v>
      </c>
      <c r="H529" s="73">
        <f>(Tabelle9[[#This Row],[ca. Anzahl
Titel pro Jahr]]*35.5)</f>
        <v>35.5</v>
      </c>
      <c r="I529" s="41">
        <f t="shared" si="13"/>
        <v>0</v>
      </c>
      <c r="J529" s="17"/>
      <c r="K529" s="17"/>
    </row>
    <row r="530" spans="1:11" ht="12.95" customHeight="1">
      <c r="A530" s="77"/>
      <c r="B530" s="80" t="s">
        <v>1027</v>
      </c>
      <c r="C530" s="44"/>
      <c r="D530" s="91" t="s">
        <v>79</v>
      </c>
      <c r="E530" s="45">
        <v>5999</v>
      </c>
      <c r="F530" s="55" t="s">
        <v>1028</v>
      </c>
      <c r="G530" s="52">
        <v>2</v>
      </c>
      <c r="H530" s="73">
        <v>43</v>
      </c>
      <c r="I530" s="41">
        <f>A530*H530</f>
        <v>0</v>
      </c>
      <c r="J530" s="17"/>
      <c r="K530" s="17"/>
    </row>
    <row r="531" spans="1:11" ht="12.95" customHeight="1">
      <c r="A531" s="77"/>
      <c r="B531" s="63" t="s">
        <v>813</v>
      </c>
      <c r="C531" s="44"/>
      <c r="D531" s="44" t="s">
        <v>814</v>
      </c>
      <c r="E531" s="45">
        <v>5868</v>
      </c>
      <c r="F531" s="55" t="s">
        <v>893</v>
      </c>
      <c r="G531" s="52">
        <v>1</v>
      </c>
      <c r="H531" s="73">
        <v>25.5</v>
      </c>
      <c r="I531" s="41">
        <f t="shared" si="13"/>
        <v>0</v>
      </c>
      <c r="J531" s="17"/>
      <c r="K531" s="17"/>
    </row>
    <row r="532" spans="1:11" ht="12.95" customHeight="1">
      <c r="A532" s="77"/>
      <c r="B532" s="63" t="s">
        <v>815</v>
      </c>
      <c r="C532" s="44"/>
      <c r="D532" s="44" t="s">
        <v>450</v>
      </c>
      <c r="E532" s="45">
        <v>5862</v>
      </c>
      <c r="F532" s="55" t="s">
        <v>445</v>
      </c>
      <c r="G532" s="52">
        <v>2</v>
      </c>
      <c r="H532" s="73">
        <v>35.4</v>
      </c>
      <c r="I532" s="41">
        <f t="shared" si="13"/>
        <v>0</v>
      </c>
      <c r="J532" s="17"/>
      <c r="K532" s="17"/>
    </row>
    <row r="533" spans="1:11" ht="12.95" customHeight="1">
      <c r="A533" s="77"/>
      <c r="B533" s="63" t="s">
        <v>816</v>
      </c>
      <c r="C533" s="44"/>
      <c r="D533" s="44" t="s">
        <v>258</v>
      </c>
      <c r="E533" s="45">
        <v>5866</v>
      </c>
      <c r="F533" s="55" t="s">
        <v>894</v>
      </c>
      <c r="G533" s="52">
        <v>1</v>
      </c>
      <c r="H533" s="73">
        <v>19.899999999999999</v>
      </c>
      <c r="I533" s="41">
        <f t="shared" si="13"/>
        <v>0</v>
      </c>
      <c r="J533" s="17"/>
      <c r="K533" s="17"/>
    </row>
    <row r="534" spans="1:11" ht="12.95" customHeight="1">
      <c r="A534" s="77"/>
      <c r="B534" s="62" t="s">
        <v>932</v>
      </c>
      <c r="C534" s="37"/>
      <c r="D534" s="54" t="s">
        <v>19</v>
      </c>
      <c r="E534" s="38">
        <v>5956</v>
      </c>
      <c r="F534" s="55" t="s">
        <v>445</v>
      </c>
      <c r="G534" s="43">
        <v>1</v>
      </c>
      <c r="H534" s="53">
        <v>22.9</v>
      </c>
      <c r="I534" s="41">
        <f t="shared" si="13"/>
        <v>0</v>
      </c>
      <c r="J534" s="17"/>
      <c r="K534" s="17"/>
    </row>
    <row r="535" spans="1:11" ht="12.95" customHeight="1">
      <c r="A535" s="77"/>
      <c r="B535" s="63" t="s">
        <v>817</v>
      </c>
      <c r="C535" s="44"/>
      <c r="D535" s="44" t="s">
        <v>31</v>
      </c>
      <c r="E535" s="45">
        <v>5609</v>
      </c>
      <c r="F535" s="55" t="s">
        <v>399</v>
      </c>
      <c r="G535" s="52">
        <v>1</v>
      </c>
      <c r="H535" s="73">
        <v>30.9</v>
      </c>
      <c r="I535" s="41">
        <f t="shared" si="13"/>
        <v>0</v>
      </c>
      <c r="J535" s="17"/>
      <c r="K535" s="17"/>
    </row>
    <row r="536" spans="1:11" ht="12.95" customHeight="1">
      <c r="A536" s="77"/>
      <c r="B536" s="80" t="s">
        <v>1022</v>
      </c>
      <c r="C536" s="44"/>
      <c r="D536" s="91" t="s">
        <v>444</v>
      </c>
      <c r="E536" s="45">
        <v>5995</v>
      </c>
      <c r="F536" s="55" t="s">
        <v>1000</v>
      </c>
      <c r="G536" s="52">
        <v>1</v>
      </c>
      <c r="H536" s="73">
        <v>24.5</v>
      </c>
      <c r="I536" s="41">
        <f>A536*H536</f>
        <v>0</v>
      </c>
      <c r="J536" s="17"/>
      <c r="K536" s="17"/>
    </row>
    <row r="537" spans="1:11" ht="12.95" customHeight="1">
      <c r="A537" s="77"/>
      <c r="B537" s="63" t="s">
        <v>711</v>
      </c>
      <c r="C537" s="44"/>
      <c r="D537" s="44" t="s">
        <v>262</v>
      </c>
      <c r="E537" s="45">
        <v>5841</v>
      </c>
      <c r="F537" s="39" t="s">
        <v>445</v>
      </c>
      <c r="G537" s="52">
        <v>1</v>
      </c>
      <c r="H537" s="73">
        <f>(Tabelle9[[#This Row],[ca. Anzahl
Titel pro Jahr]]*24.3)</f>
        <v>24.3</v>
      </c>
      <c r="I537" s="41">
        <f t="shared" si="13"/>
        <v>0</v>
      </c>
      <c r="J537" s="17"/>
      <c r="K537" s="17"/>
    </row>
    <row r="538" spans="1:11" ht="12.95" customHeight="1">
      <c r="A538" s="77"/>
      <c r="B538" s="63" t="s">
        <v>707</v>
      </c>
      <c r="C538" s="44"/>
      <c r="D538" s="44" t="s">
        <v>258</v>
      </c>
      <c r="E538" s="45">
        <v>5834</v>
      </c>
      <c r="F538" s="39" t="s">
        <v>57</v>
      </c>
      <c r="G538" s="52">
        <v>1</v>
      </c>
      <c r="H538" s="73">
        <f>(Tabelle9[[#This Row],[ca. Anzahl
Titel pro Jahr]]*24.4)</f>
        <v>24.4</v>
      </c>
      <c r="I538" s="41">
        <f t="shared" si="13"/>
        <v>0</v>
      </c>
      <c r="J538" s="17"/>
      <c r="K538" s="17"/>
    </row>
    <row r="539" spans="1:11" ht="12.95" customHeight="1">
      <c r="A539" s="77"/>
      <c r="B539" s="63" t="s">
        <v>563</v>
      </c>
      <c r="C539" s="44"/>
      <c r="D539" s="44" t="s">
        <v>444</v>
      </c>
      <c r="E539" s="45">
        <v>5536</v>
      </c>
      <c r="F539" s="39" t="s">
        <v>564</v>
      </c>
      <c r="G539" s="52">
        <v>1</v>
      </c>
      <c r="H539" s="73">
        <f>(Tabelle9[[#This Row],[ca. Anzahl
Titel pro Jahr]]*25.9)</f>
        <v>25.9</v>
      </c>
      <c r="I539" s="41">
        <f t="shared" si="13"/>
        <v>0</v>
      </c>
      <c r="J539" s="17"/>
      <c r="K539" s="17"/>
    </row>
    <row r="540" spans="1:11" ht="12.95" customHeight="1">
      <c r="A540" s="77"/>
      <c r="B540" s="63" t="s">
        <v>818</v>
      </c>
      <c r="C540" s="44"/>
      <c r="D540" s="44" t="s">
        <v>15</v>
      </c>
      <c r="E540" s="45">
        <v>5895</v>
      </c>
      <c r="F540" s="55" t="s">
        <v>542</v>
      </c>
      <c r="G540" s="52">
        <v>1</v>
      </c>
      <c r="H540" s="73">
        <v>24.9</v>
      </c>
      <c r="I540" s="41">
        <f t="shared" si="13"/>
        <v>0</v>
      </c>
      <c r="J540" s="17"/>
      <c r="K540" s="17"/>
    </row>
    <row r="541" spans="1:11" ht="12.95" customHeight="1">
      <c r="A541" s="77"/>
      <c r="B541" s="80" t="s">
        <v>936</v>
      </c>
      <c r="C541" s="44"/>
      <c r="D541" s="91" t="s">
        <v>937</v>
      </c>
      <c r="E541" s="45">
        <v>5957</v>
      </c>
      <c r="F541" s="55" t="s">
        <v>938</v>
      </c>
      <c r="G541" s="52">
        <v>1</v>
      </c>
      <c r="H541" s="73">
        <v>27</v>
      </c>
      <c r="I541" s="41">
        <f t="shared" si="13"/>
        <v>0</v>
      </c>
      <c r="J541" s="17"/>
      <c r="K541" s="17"/>
    </row>
    <row r="542" spans="1:11" ht="12.95" customHeight="1">
      <c r="A542" s="77"/>
      <c r="B542" s="63" t="s">
        <v>607</v>
      </c>
      <c r="C542" s="44"/>
      <c r="D542" s="44" t="s">
        <v>188</v>
      </c>
      <c r="E542" s="45">
        <v>5704</v>
      </c>
      <c r="F542" s="39" t="s">
        <v>245</v>
      </c>
      <c r="G542" s="52">
        <v>1</v>
      </c>
      <c r="H542" s="73">
        <v>25.5</v>
      </c>
      <c r="I542" s="41">
        <f t="shared" si="13"/>
        <v>0</v>
      </c>
      <c r="J542" s="17"/>
      <c r="K542" s="17"/>
    </row>
    <row r="543" spans="1:11" ht="12.95" customHeight="1">
      <c r="A543" s="77"/>
      <c r="B543" s="63" t="s">
        <v>615</v>
      </c>
      <c r="C543" s="44"/>
      <c r="D543" s="44" t="s">
        <v>616</v>
      </c>
      <c r="E543" s="45">
        <v>5684</v>
      </c>
      <c r="F543" s="39" t="s">
        <v>612</v>
      </c>
      <c r="G543" s="52">
        <v>1</v>
      </c>
      <c r="H543" s="73">
        <f>(Tabelle9[[#This Row],[ca. Anzahl
Titel pro Jahr]]*18.7)</f>
        <v>18.7</v>
      </c>
      <c r="I543" s="41">
        <f t="shared" si="13"/>
        <v>0</v>
      </c>
      <c r="J543" s="17"/>
      <c r="K543" s="17"/>
    </row>
    <row r="544" spans="1:11" ht="12.95" customHeight="1">
      <c r="A544" s="77"/>
      <c r="B544" s="63" t="s">
        <v>819</v>
      </c>
      <c r="C544" s="44"/>
      <c r="D544" s="44" t="s">
        <v>620</v>
      </c>
      <c r="E544" s="45">
        <v>5854</v>
      </c>
      <c r="F544" s="55" t="s">
        <v>564</v>
      </c>
      <c r="G544" s="52">
        <v>1</v>
      </c>
      <c r="H544" s="73">
        <v>22.9</v>
      </c>
      <c r="I544" s="41">
        <f t="shared" si="13"/>
        <v>0</v>
      </c>
      <c r="J544" s="17"/>
      <c r="K544" s="17"/>
    </row>
    <row r="545" spans="1:11" ht="12.95" customHeight="1">
      <c r="A545" s="77"/>
      <c r="B545" s="63" t="s">
        <v>820</v>
      </c>
      <c r="C545" s="44"/>
      <c r="D545" s="44" t="s">
        <v>821</v>
      </c>
      <c r="E545" s="45">
        <v>5889</v>
      </c>
      <c r="F545" s="55" t="s">
        <v>895</v>
      </c>
      <c r="G545" s="52">
        <v>1</v>
      </c>
      <c r="H545" s="73">
        <v>33.5</v>
      </c>
      <c r="I545" s="41">
        <f t="shared" si="13"/>
        <v>0</v>
      </c>
      <c r="J545" s="17"/>
      <c r="K545" s="17"/>
    </row>
    <row r="546" spans="1:11" ht="12.95" customHeight="1">
      <c r="A546" s="77"/>
      <c r="B546" s="80" t="s">
        <v>941</v>
      </c>
      <c r="C546" s="44"/>
      <c r="D546" s="91" t="s">
        <v>566</v>
      </c>
      <c r="E546" s="45">
        <v>5944</v>
      </c>
      <c r="F546" s="55" t="s">
        <v>942</v>
      </c>
      <c r="G546" s="52">
        <v>1</v>
      </c>
      <c r="H546" s="73">
        <v>26</v>
      </c>
      <c r="I546" s="41">
        <f t="shared" si="13"/>
        <v>0</v>
      </c>
      <c r="J546" s="17"/>
      <c r="K546" s="17"/>
    </row>
    <row r="547" spans="1:11" ht="12.95" customHeight="1">
      <c r="A547" s="77"/>
      <c r="B547" s="63" t="s">
        <v>610</v>
      </c>
      <c r="C547" s="44"/>
      <c r="D547" s="44" t="s">
        <v>611</v>
      </c>
      <c r="E547" s="45">
        <v>5661</v>
      </c>
      <c r="F547" s="39" t="s">
        <v>612</v>
      </c>
      <c r="G547" s="52">
        <v>1</v>
      </c>
      <c r="H547" s="73">
        <f>(Tabelle9[[#This Row],[ca. Anzahl
Titel pro Jahr]]*18.7)</f>
        <v>18.7</v>
      </c>
      <c r="I547" s="41">
        <f t="shared" si="13"/>
        <v>0</v>
      </c>
      <c r="J547" s="17"/>
      <c r="K547" s="17"/>
    </row>
    <row r="548" spans="1:11" ht="12.95" customHeight="1">
      <c r="A548" s="77"/>
      <c r="B548" s="63" t="s">
        <v>662</v>
      </c>
      <c r="C548" s="44"/>
      <c r="D548" s="44" t="s">
        <v>663</v>
      </c>
      <c r="E548" s="45">
        <v>5755</v>
      </c>
      <c r="F548" s="39" t="s">
        <v>571</v>
      </c>
      <c r="G548" s="52">
        <v>1</v>
      </c>
      <c r="H548" s="73">
        <v>18.5</v>
      </c>
      <c r="I548" s="41">
        <f t="shared" si="13"/>
        <v>0</v>
      </c>
      <c r="J548" s="17"/>
      <c r="K548" s="17"/>
    </row>
    <row r="549" spans="1:11" ht="12.95" customHeight="1">
      <c r="A549" s="77"/>
      <c r="B549" s="80" t="s">
        <v>948</v>
      </c>
      <c r="C549" s="44"/>
      <c r="D549" s="91" t="s">
        <v>833</v>
      </c>
      <c r="E549" s="45">
        <v>5958</v>
      </c>
      <c r="F549" s="55" t="s">
        <v>903</v>
      </c>
      <c r="G549" s="52">
        <v>2</v>
      </c>
      <c r="H549" s="73">
        <v>45.8</v>
      </c>
      <c r="I549" s="41">
        <f>A549*H549</f>
        <v>0</v>
      </c>
      <c r="J549" s="17"/>
      <c r="K549" s="17"/>
    </row>
    <row r="550" spans="1:11" ht="12.95" customHeight="1">
      <c r="A550" s="77"/>
      <c r="B550" s="63" t="s">
        <v>822</v>
      </c>
      <c r="C550" s="44"/>
      <c r="D550" s="44" t="s">
        <v>611</v>
      </c>
      <c r="E550" s="45">
        <v>5611</v>
      </c>
      <c r="F550" s="55" t="s">
        <v>896</v>
      </c>
      <c r="G550" s="52">
        <v>1</v>
      </c>
      <c r="H550" s="73">
        <v>25.5</v>
      </c>
      <c r="I550" s="41">
        <f t="shared" si="13"/>
        <v>0</v>
      </c>
      <c r="J550" s="17"/>
      <c r="K550" s="17"/>
    </row>
    <row r="551" spans="1:11" ht="12.95" customHeight="1">
      <c r="A551" s="77"/>
      <c r="B551" s="63" t="s">
        <v>618</v>
      </c>
      <c r="C551" s="44"/>
      <c r="D551" s="44" t="s">
        <v>364</v>
      </c>
      <c r="E551" s="45">
        <v>5691</v>
      </c>
      <c r="F551" s="39" t="s">
        <v>443</v>
      </c>
      <c r="G551" s="52">
        <v>1</v>
      </c>
      <c r="H551" s="73">
        <v>18.5</v>
      </c>
      <c r="I551" s="41">
        <f t="shared" si="13"/>
        <v>0</v>
      </c>
      <c r="J551" s="17"/>
      <c r="K551" s="17"/>
    </row>
    <row r="552" spans="1:11" ht="12.95" customHeight="1">
      <c r="A552" s="77"/>
      <c r="B552" s="63" t="s">
        <v>565</v>
      </c>
      <c r="C552" s="44"/>
      <c r="D552" s="44" t="s">
        <v>566</v>
      </c>
      <c r="E552" s="45">
        <v>5573</v>
      </c>
      <c r="F552" s="39" t="s">
        <v>57</v>
      </c>
      <c r="G552" s="52">
        <v>1</v>
      </c>
      <c r="H552" s="73">
        <f>(Tabelle9[[#This Row],[ca. Anzahl
Titel pro Jahr]]*33.9)</f>
        <v>33.9</v>
      </c>
      <c r="I552" s="41">
        <f t="shared" si="13"/>
        <v>0</v>
      </c>
      <c r="J552" s="17"/>
      <c r="K552" s="17"/>
    </row>
    <row r="553" spans="1:11" ht="12.95" customHeight="1">
      <c r="A553" s="77"/>
      <c r="B553" s="63" t="s">
        <v>823</v>
      </c>
      <c r="C553" s="44"/>
      <c r="D553" s="44" t="s">
        <v>824</v>
      </c>
      <c r="E553" s="45">
        <v>5726</v>
      </c>
      <c r="F553" s="55" t="s">
        <v>445</v>
      </c>
      <c r="G553" s="52">
        <v>2</v>
      </c>
      <c r="H553" s="73">
        <v>41</v>
      </c>
      <c r="I553" s="41">
        <f t="shared" si="13"/>
        <v>0</v>
      </c>
      <c r="J553" s="17"/>
      <c r="K553" s="17"/>
    </row>
    <row r="554" spans="1:11" ht="12.95" customHeight="1">
      <c r="A554" s="77"/>
      <c r="B554" s="63" t="s">
        <v>825</v>
      </c>
      <c r="C554" s="44"/>
      <c r="D554" s="44" t="s">
        <v>267</v>
      </c>
      <c r="E554" s="45">
        <v>5865</v>
      </c>
      <c r="F554" s="55" t="s">
        <v>893</v>
      </c>
      <c r="G554" s="52">
        <v>1</v>
      </c>
      <c r="H554" s="73">
        <v>25.5</v>
      </c>
      <c r="I554" s="41">
        <f t="shared" si="13"/>
        <v>0</v>
      </c>
      <c r="J554" s="17"/>
      <c r="K554" s="17"/>
    </row>
    <row r="555" spans="1:11" ht="12.95" customHeight="1">
      <c r="A555" s="77"/>
      <c r="B555" s="80" t="s">
        <v>481</v>
      </c>
      <c r="C555" s="44"/>
      <c r="D555" s="44" t="s">
        <v>259</v>
      </c>
      <c r="E555" s="45">
        <v>5367</v>
      </c>
      <c r="F555" s="55" t="s">
        <v>57</v>
      </c>
      <c r="G555" s="52">
        <v>1</v>
      </c>
      <c r="H555" s="73">
        <v>17.5</v>
      </c>
      <c r="I555" s="41">
        <f t="shared" si="13"/>
        <v>0</v>
      </c>
      <c r="J555" s="17"/>
      <c r="K555" s="17"/>
    </row>
    <row r="556" spans="1:11" ht="12.95" customHeight="1">
      <c r="A556" s="77"/>
      <c r="B556" s="63" t="s">
        <v>826</v>
      </c>
      <c r="C556" s="44"/>
      <c r="D556" s="44" t="s">
        <v>362</v>
      </c>
      <c r="E556" s="45">
        <v>5867</v>
      </c>
      <c r="F556" s="55" t="s">
        <v>897</v>
      </c>
      <c r="G556" s="52">
        <v>3</v>
      </c>
      <c r="H556" s="73">
        <v>103.5</v>
      </c>
      <c r="I556" s="41">
        <f t="shared" si="13"/>
        <v>0</v>
      </c>
      <c r="J556" s="17"/>
      <c r="K556" s="17"/>
    </row>
    <row r="557" spans="1:11" ht="12.95" customHeight="1">
      <c r="A557" s="77"/>
      <c r="B557" s="63" t="s">
        <v>827</v>
      </c>
      <c r="C557" s="44"/>
      <c r="D557" s="44" t="s">
        <v>503</v>
      </c>
      <c r="E557" s="45">
        <v>5850</v>
      </c>
      <c r="F557" s="55" t="s">
        <v>404</v>
      </c>
      <c r="G557" s="52">
        <v>1</v>
      </c>
      <c r="H557" s="73">
        <v>23.9</v>
      </c>
      <c r="I557" s="41">
        <f t="shared" si="13"/>
        <v>0</v>
      </c>
      <c r="J557" s="17"/>
      <c r="K557" s="17"/>
    </row>
    <row r="558" spans="1:11" ht="12.95" customHeight="1">
      <c r="A558" s="77"/>
      <c r="B558" s="80" t="s">
        <v>710</v>
      </c>
      <c r="C558" s="44"/>
      <c r="D558" s="44" t="s">
        <v>362</v>
      </c>
      <c r="E558" s="45">
        <v>5838</v>
      </c>
      <c r="F558" s="39" t="s">
        <v>404</v>
      </c>
      <c r="G558" s="52">
        <v>1</v>
      </c>
      <c r="H558" s="73">
        <v>21.9</v>
      </c>
      <c r="I558" s="41">
        <f t="shared" si="13"/>
        <v>0</v>
      </c>
      <c r="J558" s="17"/>
      <c r="K558" s="17"/>
    </row>
    <row r="559" spans="1:11" ht="12.95" customHeight="1">
      <c r="A559" s="77"/>
      <c r="B559" s="80" t="s">
        <v>482</v>
      </c>
      <c r="C559" s="44"/>
      <c r="D559" s="44" t="s">
        <v>444</v>
      </c>
      <c r="E559" s="45">
        <v>5281</v>
      </c>
      <c r="F559" s="39" t="s">
        <v>57</v>
      </c>
      <c r="G559" s="52">
        <v>1</v>
      </c>
      <c r="H559" s="73">
        <v>25.5</v>
      </c>
      <c r="I559" s="41">
        <f t="shared" si="13"/>
        <v>0</v>
      </c>
      <c r="J559" s="17"/>
      <c r="K559" s="17"/>
    </row>
    <row r="560" spans="1:11" ht="12.95" customHeight="1">
      <c r="A560" s="77"/>
      <c r="B560" s="63" t="s">
        <v>617</v>
      </c>
      <c r="C560" s="44"/>
      <c r="D560" s="44" t="s">
        <v>362</v>
      </c>
      <c r="E560" s="45">
        <v>5689</v>
      </c>
      <c r="F560" s="39" t="s">
        <v>404</v>
      </c>
      <c r="G560" s="52">
        <v>1</v>
      </c>
      <c r="H560" s="73">
        <v>27.9</v>
      </c>
      <c r="I560" s="41">
        <f t="shared" ref="I560:I594" si="14">A560*H560</f>
        <v>0</v>
      </c>
      <c r="J560" s="17"/>
      <c r="K560" s="17"/>
    </row>
    <row r="561" spans="1:11" ht="12.95" customHeight="1">
      <c r="A561" s="77"/>
      <c r="B561" s="63" t="s">
        <v>828</v>
      </c>
      <c r="C561" s="44"/>
      <c r="D561" s="44" t="s">
        <v>829</v>
      </c>
      <c r="E561" s="45">
        <v>5884</v>
      </c>
      <c r="F561" s="55" t="s">
        <v>898</v>
      </c>
      <c r="G561" s="52">
        <v>1</v>
      </c>
      <c r="H561" s="73">
        <v>33.5</v>
      </c>
      <c r="I561" s="41">
        <f t="shared" si="14"/>
        <v>0</v>
      </c>
      <c r="J561" s="17"/>
      <c r="K561" s="17"/>
    </row>
    <row r="562" spans="1:11" ht="12.95" customHeight="1">
      <c r="A562" s="77"/>
      <c r="B562" s="63" t="s">
        <v>830</v>
      </c>
      <c r="C562" s="44"/>
      <c r="D562" s="44" t="s">
        <v>444</v>
      </c>
      <c r="E562" s="45">
        <v>5864</v>
      </c>
      <c r="F562" s="55" t="s">
        <v>893</v>
      </c>
      <c r="G562" s="52">
        <v>1</v>
      </c>
      <c r="H562" s="73">
        <v>25.5</v>
      </c>
      <c r="I562" s="41">
        <f t="shared" si="14"/>
        <v>0</v>
      </c>
      <c r="J562" s="17"/>
      <c r="K562" s="17"/>
    </row>
    <row r="563" spans="1:11" ht="12.95" customHeight="1">
      <c r="A563" s="77"/>
      <c r="B563" s="80" t="s">
        <v>361</v>
      </c>
      <c r="C563" s="44"/>
      <c r="D563" s="44" t="s">
        <v>362</v>
      </c>
      <c r="E563" s="45">
        <v>5192</v>
      </c>
      <c r="F563" s="39" t="s">
        <v>57</v>
      </c>
      <c r="G563" s="52">
        <v>1</v>
      </c>
      <c r="H563" s="73">
        <v>21.9</v>
      </c>
      <c r="I563" s="41">
        <f t="shared" si="14"/>
        <v>0</v>
      </c>
      <c r="J563" s="17"/>
      <c r="K563" s="17"/>
    </row>
    <row r="564" spans="1:11" ht="12.95" customHeight="1">
      <c r="A564" s="77"/>
      <c r="B564" s="63" t="s">
        <v>261</v>
      </c>
      <c r="C564" s="44"/>
      <c r="D564" s="44" t="s">
        <v>262</v>
      </c>
      <c r="E564" s="45">
        <v>4988</v>
      </c>
      <c r="F564" s="39" t="s">
        <v>57</v>
      </c>
      <c r="G564" s="52">
        <v>1</v>
      </c>
      <c r="H564" s="73">
        <f>(Tabelle9[[#This Row],[ca. Anzahl
Titel pro Jahr]]*24.3)</f>
        <v>24.3</v>
      </c>
      <c r="I564" s="41">
        <f t="shared" si="14"/>
        <v>0</v>
      </c>
      <c r="J564" s="17"/>
      <c r="K564" s="17"/>
    </row>
    <row r="565" spans="1:11" ht="12.95" customHeight="1">
      <c r="A565" s="77"/>
      <c r="B565" s="63" t="s">
        <v>263</v>
      </c>
      <c r="C565" s="44"/>
      <c r="D565" s="44" t="s">
        <v>264</v>
      </c>
      <c r="E565" s="45">
        <v>4989</v>
      </c>
      <c r="F565" s="39" t="s">
        <v>57</v>
      </c>
      <c r="G565" s="52">
        <v>1</v>
      </c>
      <c r="H565" s="73">
        <v>30.9</v>
      </c>
      <c r="I565" s="41">
        <f t="shared" si="14"/>
        <v>0</v>
      </c>
      <c r="J565" s="17"/>
      <c r="K565" s="17"/>
    </row>
    <row r="566" spans="1:11" ht="12.95" customHeight="1">
      <c r="A566" s="77"/>
      <c r="B566" s="80" t="s">
        <v>952</v>
      </c>
      <c r="C566" s="44"/>
      <c r="D566" s="91" t="s">
        <v>953</v>
      </c>
      <c r="E566" s="45">
        <v>5954</v>
      </c>
      <c r="F566" s="55" t="s">
        <v>954</v>
      </c>
      <c r="G566" s="52">
        <v>1</v>
      </c>
      <c r="H566" s="73">
        <v>22.5</v>
      </c>
      <c r="I566" s="41">
        <f>A566*H566</f>
        <v>0</v>
      </c>
      <c r="J566" s="17"/>
      <c r="K566" s="17"/>
    </row>
    <row r="567" spans="1:11" ht="12.95" customHeight="1">
      <c r="A567" s="77"/>
      <c r="B567" s="63" t="s">
        <v>578</v>
      </c>
      <c r="C567" s="44"/>
      <c r="D567" s="44" t="s">
        <v>188</v>
      </c>
      <c r="E567" s="45">
        <v>5280</v>
      </c>
      <c r="F567" s="55" t="s">
        <v>245</v>
      </c>
      <c r="G567" s="52">
        <v>1</v>
      </c>
      <c r="H567" s="73">
        <f>(Tabelle9[[#This Row],[ca. Anzahl
Titel pro Jahr]]*25.9)</f>
        <v>25.9</v>
      </c>
      <c r="I567" s="41">
        <f t="shared" si="14"/>
        <v>0</v>
      </c>
      <c r="J567" s="17"/>
      <c r="K567" s="17"/>
    </row>
    <row r="568" spans="1:11" ht="12.95" customHeight="1">
      <c r="A568" s="77"/>
      <c r="B568" s="63" t="s">
        <v>831</v>
      </c>
      <c r="C568" s="44"/>
      <c r="D568" s="44" t="s">
        <v>86</v>
      </c>
      <c r="E568" s="45">
        <v>5870</v>
      </c>
      <c r="F568" s="55" t="s">
        <v>899</v>
      </c>
      <c r="G568" s="52">
        <v>2</v>
      </c>
      <c r="H568" s="73">
        <v>41</v>
      </c>
      <c r="I568" s="41">
        <f t="shared" si="14"/>
        <v>0</v>
      </c>
      <c r="J568" s="17"/>
      <c r="K568" s="17"/>
    </row>
    <row r="569" spans="1:11" ht="12.95" customHeight="1">
      <c r="A569" s="77"/>
      <c r="B569" s="80" t="s">
        <v>900</v>
      </c>
      <c r="C569" s="44"/>
      <c r="D569" s="44" t="s">
        <v>803</v>
      </c>
      <c r="E569" s="45">
        <v>5873</v>
      </c>
      <c r="F569" s="55" t="s">
        <v>901</v>
      </c>
      <c r="G569" s="52">
        <v>1</v>
      </c>
      <c r="H569" s="73">
        <v>24.5</v>
      </c>
      <c r="I569" s="41">
        <f t="shared" si="14"/>
        <v>0</v>
      </c>
      <c r="J569" s="17"/>
      <c r="K569" s="17"/>
    </row>
    <row r="570" spans="1:11" ht="12.95" customHeight="1">
      <c r="A570" s="77"/>
      <c r="B570" s="63" t="s">
        <v>567</v>
      </c>
      <c r="C570" s="44"/>
      <c r="D570" s="44" t="s">
        <v>444</v>
      </c>
      <c r="E570" s="45">
        <v>5574</v>
      </c>
      <c r="F570" s="39" t="s">
        <v>57</v>
      </c>
      <c r="G570" s="52">
        <v>2</v>
      </c>
      <c r="H570" s="73">
        <v>37</v>
      </c>
      <c r="I570" s="41">
        <f t="shared" si="14"/>
        <v>0</v>
      </c>
      <c r="J570" s="17"/>
      <c r="K570" s="17"/>
    </row>
    <row r="571" spans="1:11" ht="12.95" customHeight="1">
      <c r="A571" s="77"/>
      <c r="B571" s="63" t="s">
        <v>832</v>
      </c>
      <c r="C571" s="44"/>
      <c r="D571" s="44" t="s">
        <v>833</v>
      </c>
      <c r="E571" s="45">
        <v>5861</v>
      </c>
      <c r="F571" s="55" t="s">
        <v>399</v>
      </c>
      <c r="G571" s="52">
        <v>2</v>
      </c>
      <c r="H571" s="73">
        <v>67</v>
      </c>
      <c r="I571" s="41">
        <f t="shared" si="14"/>
        <v>0</v>
      </c>
      <c r="J571" s="17"/>
      <c r="K571" s="17"/>
    </row>
    <row r="572" spans="1:11" ht="12.95" customHeight="1">
      <c r="A572" s="77"/>
      <c r="B572" s="80" t="s">
        <v>962</v>
      </c>
      <c r="C572" s="44"/>
      <c r="D572" s="91" t="s">
        <v>963</v>
      </c>
      <c r="E572" s="45">
        <v>5964</v>
      </c>
      <c r="F572" s="55" t="s">
        <v>964</v>
      </c>
      <c r="G572" s="52">
        <v>1</v>
      </c>
      <c r="H572" s="73">
        <v>23.9</v>
      </c>
      <c r="I572" s="41">
        <f>A572*H572</f>
        <v>0</v>
      </c>
      <c r="J572" s="17"/>
      <c r="K572" s="17"/>
    </row>
    <row r="573" spans="1:11" ht="12.95" customHeight="1">
      <c r="A573" s="77"/>
      <c r="B573" s="80" t="s">
        <v>1019</v>
      </c>
      <c r="C573" s="44"/>
      <c r="D573" s="91" t="s">
        <v>614</v>
      </c>
      <c r="E573" s="45">
        <v>5993</v>
      </c>
      <c r="F573" s="55" t="s">
        <v>445</v>
      </c>
      <c r="G573" s="52">
        <v>2</v>
      </c>
      <c r="H573" s="73">
        <v>47.8</v>
      </c>
      <c r="I573" s="41">
        <f>A573*H573</f>
        <v>0</v>
      </c>
      <c r="J573" s="17"/>
      <c r="K573" s="17"/>
    </row>
    <row r="574" spans="1:11" ht="12.95" customHeight="1">
      <c r="A574" s="77"/>
      <c r="B574" s="63" t="s">
        <v>834</v>
      </c>
      <c r="C574" s="44"/>
      <c r="D574" s="44" t="s">
        <v>835</v>
      </c>
      <c r="E574" s="45">
        <v>5871</v>
      </c>
      <c r="F574" s="55" t="s">
        <v>902</v>
      </c>
      <c r="G574" s="52">
        <v>1</v>
      </c>
      <c r="H574" s="73">
        <v>24.5</v>
      </c>
      <c r="I574" s="41">
        <f t="shared" si="14"/>
        <v>0</v>
      </c>
      <c r="J574" s="17"/>
      <c r="K574" s="17"/>
    </row>
    <row r="575" spans="1:11" ht="12.95" customHeight="1">
      <c r="A575" s="77"/>
      <c r="B575" s="63" t="s">
        <v>836</v>
      </c>
      <c r="C575" s="44"/>
      <c r="D575" s="44" t="s">
        <v>67</v>
      </c>
      <c r="E575" s="45">
        <v>5636</v>
      </c>
      <c r="F575" s="55" t="s">
        <v>905</v>
      </c>
      <c r="G575" s="52">
        <v>1</v>
      </c>
      <c r="H575" s="73">
        <v>18.5</v>
      </c>
      <c r="I575" s="41">
        <f t="shared" si="14"/>
        <v>0</v>
      </c>
      <c r="J575" s="17"/>
      <c r="K575" s="17"/>
    </row>
    <row r="576" spans="1:11" ht="12.95" customHeight="1">
      <c r="A576" s="77"/>
      <c r="B576" s="63" t="s">
        <v>837</v>
      </c>
      <c r="C576" s="44"/>
      <c r="D576" s="44" t="s">
        <v>188</v>
      </c>
      <c r="E576" s="45">
        <v>5913</v>
      </c>
      <c r="F576" s="55" t="s">
        <v>904</v>
      </c>
      <c r="G576" s="52">
        <v>2</v>
      </c>
      <c r="H576" s="73">
        <v>45.8</v>
      </c>
      <c r="I576" s="41">
        <f t="shared" si="14"/>
        <v>0</v>
      </c>
      <c r="J576" s="17"/>
      <c r="K576" s="17"/>
    </row>
    <row r="577" spans="1:11" ht="12.95" customHeight="1">
      <c r="A577" s="77"/>
      <c r="B577" s="80" t="s">
        <v>971</v>
      </c>
      <c r="C577" s="44"/>
      <c r="D577" s="91" t="s">
        <v>611</v>
      </c>
      <c r="E577" s="45">
        <v>5959</v>
      </c>
      <c r="F577" s="55" t="s">
        <v>906</v>
      </c>
      <c r="G577" s="52">
        <v>2</v>
      </c>
      <c r="H577" s="73">
        <v>41</v>
      </c>
      <c r="I577" s="41">
        <f>A577*H577</f>
        <v>0</v>
      </c>
      <c r="J577" s="17"/>
      <c r="K577" s="17"/>
    </row>
    <row r="578" spans="1:11" ht="12.95" customHeight="1">
      <c r="A578" s="77"/>
      <c r="B578" s="63" t="s">
        <v>838</v>
      </c>
      <c r="C578" s="44"/>
      <c r="D578" s="44" t="s">
        <v>839</v>
      </c>
      <c r="E578" s="45">
        <v>5894</v>
      </c>
      <c r="F578" s="55" t="s">
        <v>903</v>
      </c>
      <c r="G578" s="52">
        <v>1</v>
      </c>
      <c r="H578" s="73">
        <v>23.9</v>
      </c>
      <c r="I578" s="41">
        <f t="shared" si="14"/>
        <v>0</v>
      </c>
      <c r="J578" s="17"/>
      <c r="K578" s="17"/>
    </row>
    <row r="579" spans="1:11" ht="12.95" customHeight="1">
      <c r="A579" s="77"/>
      <c r="B579" s="63" t="s">
        <v>613</v>
      </c>
      <c r="C579" s="44"/>
      <c r="D579" s="44" t="s">
        <v>614</v>
      </c>
      <c r="E579" s="45">
        <v>5683</v>
      </c>
      <c r="F579" s="39" t="s">
        <v>445</v>
      </c>
      <c r="G579" s="52">
        <v>1</v>
      </c>
      <c r="H579" s="73">
        <f>(Tabelle9[[#This Row],[ca. Anzahl
Titel pro Jahr]]*22.9)</f>
        <v>22.9</v>
      </c>
      <c r="I579" s="41">
        <f t="shared" si="14"/>
        <v>0</v>
      </c>
      <c r="J579" s="17"/>
      <c r="K579" s="17"/>
    </row>
    <row r="580" spans="1:11" ht="12.95" customHeight="1">
      <c r="A580" s="77"/>
      <c r="B580" s="63" t="s">
        <v>265</v>
      </c>
      <c r="C580" s="44"/>
      <c r="D580" s="44" t="s">
        <v>259</v>
      </c>
      <c r="E580" s="45">
        <v>4994</v>
      </c>
      <c r="F580" s="39" t="s">
        <v>57</v>
      </c>
      <c r="G580" s="52">
        <v>2</v>
      </c>
      <c r="H580" s="73">
        <v>51</v>
      </c>
      <c r="I580" s="41">
        <f t="shared" si="14"/>
        <v>0</v>
      </c>
      <c r="J580" s="17"/>
      <c r="K580" s="17"/>
    </row>
    <row r="581" spans="1:11" ht="12.95" customHeight="1">
      <c r="A581" s="77"/>
      <c r="B581" s="63" t="s">
        <v>483</v>
      </c>
      <c r="C581" s="44"/>
      <c r="D581" s="44" t="s">
        <v>444</v>
      </c>
      <c r="E581" s="45">
        <v>5369</v>
      </c>
      <c r="F581" s="39" t="s">
        <v>57</v>
      </c>
      <c r="G581" s="52">
        <v>2</v>
      </c>
      <c r="H581" s="73">
        <v>18.5</v>
      </c>
      <c r="I581" s="41">
        <f t="shared" si="14"/>
        <v>0</v>
      </c>
      <c r="J581" s="17"/>
      <c r="K581" s="17"/>
    </row>
    <row r="582" spans="1:11" ht="12.95" customHeight="1">
      <c r="A582" s="77"/>
      <c r="B582" s="63" t="s">
        <v>840</v>
      </c>
      <c r="C582" s="44"/>
      <c r="D582" s="44" t="s">
        <v>841</v>
      </c>
      <c r="E582" s="45">
        <v>5879</v>
      </c>
      <c r="F582" s="55" t="s">
        <v>906</v>
      </c>
      <c r="G582" s="52">
        <v>1</v>
      </c>
      <c r="H582" s="73">
        <v>18.5</v>
      </c>
      <c r="I582" s="41">
        <f t="shared" si="14"/>
        <v>0</v>
      </c>
      <c r="J582" s="17"/>
      <c r="K582" s="17"/>
    </row>
    <row r="583" spans="1:11" ht="12.95" customHeight="1">
      <c r="A583" s="77"/>
      <c r="B583" s="63" t="s">
        <v>842</v>
      </c>
      <c r="C583" s="44"/>
      <c r="D583" s="44" t="s">
        <v>843</v>
      </c>
      <c r="E583" s="45">
        <v>5682</v>
      </c>
      <c r="F583" s="55" t="s">
        <v>445</v>
      </c>
      <c r="G583" s="52">
        <v>1</v>
      </c>
      <c r="H583" s="73">
        <v>24.5</v>
      </c>
      <c r="I583" s="41">
        <f t="shared" si="14"/>
        <v>0</v>
      </c>
      <c r="J583" s="17"/>
      <c r="K583" s="17"/>
    </row>
    <row r="584" spans="1:11" ht="12.95" customHeight="1">
      <c r="A584" s="77"/>
      <c r="B584" s="63" t="s">
        <v>844</v>
      </c>
      <c r="C584" s="44"/>
      <c r="D584" s="44" t="s">
        <v>845</v>
      </c>
      <c r="E584" s="45">
        <v>5887</v>
      </c>
      <c r="F584" s="55" t="s">
        <v>907</v>
      </c>
      <c r="G584" s="52">
        <v>2</v>
      </c>
      <c r="H584" s="73">
        <v>47.8</v>
      </c>
      <c r="I584" s="41">
        <f t="shared" si="14"/>
        <v>0</v>
      </c>
      <c r="J584" s="17"/>
      <c r="K584" s="17"/>
    </row>
    <row r="585" spans="1:11" ht="12.95" customHeight="1">
      <c r="A585" s="77"/>
      <c r="B585" s="80" t="s">
        <v>975</v>
      </c>
      <c r="C585" s="44"/>
      <c r="D585" s="91" t="s">
        <v>614</v>
      </c>
      <c r="E585" s="45">
        <v>5631</v>
      </c>
      <c r="F585" s="55" t="s">
        <v>399</v>
      </c>
      <c r="G585" s="52">
        <v>2</v>
      </c>
      <c r="H585" s="73">
        <v>67</v>
      </c>
      <c r="I585" s="41">
        <f>A585*H585</f>
        <v>0</v>
      </c>
      <c r="J585" s="17"/>
      <c r="K585" s="17"/>
    </row>
    <row r="586" spans="1:11" ht="12.95" customHeight="1">
      <c r="A586" s="77"/>
      <c r="B586" s="63" t="s">
        <v>846</v>
      </c>
      <c r="C586" s="44"/>
      <c r="D586" s="44" t="s">
        <v>847</v>
      </c>
      <c r="E586" s="45">
        <v>5890</v>
      </c>
      <c r="F586" s="55" t="s">
        <v>896</v>
      </c>
      <c r="G586" s="52">
        <v>1</v>
      </c>
      <c r="H586" s="73">
        <v>18.5</v>
      </c>
      <c r="I586" s="41">
        <f t="shared" si="14"/>
        <v>0</v>
      </c>
      <c r="J586" s="17"/>
      <c r="K586" s="17"/>
    </row>
    <row r="587" spans="1:11" ht="12.95" customHeight="1">
      <c r="A587" s="77"/>
      <c r="B587" s="63" t="s">
        <v>619</v>
      </c>
      <c r="C587" s="44"/>
      <c r="D587" s="44" t="s">
        <v>620</v>
      </c>
      <c r="E587" s="45">
        <v>5703</v>
      </c>
      <c r="F587" s="39" t="s">
        <v>571</v>
      </c>
      <c r="G587" s="52">
        <v>1</v>
      </c>
      <c r="H587" s="73">
        <v>24.5</v>
      </c>
      <c r="I587" s="41">
        <f t="shared" si="14"/>
        <v>0</v>
      </c>
      <c r="J587" s="17"/>
      <c r="K587" s="17"/>
    </row>
    <row r="588" spans="1:11" ht="12.95" customHeight="1">
      <c r="A588" s="77"/>
      <c r="B588" s="63" t="s">
        <v>848</v>
      </c>
      <c r="C588" s="44"/>
      <c r="D588" s="44" t="s">
        <v>262</v>
      </c>
      <c r="E588" s="45">
        <v>5863</v>
      </c>
      <c r="F588" s="55" t="s">
        <v>909</v>
      </c>
      <c r="G588" s="52">
        <v>1</v>
      </c>
      <c r="H588" s="73">
        <v>18.5</v>
      </c>
      <c r="I588" s="41">
        <f t="shared" si="14"/>
        <v>0</v>
      </c>
      <c r="J588" s="17"/>
      <c r="K588" s="17"/>
    </row>
    <row r="589" spans="1:11" ht="12.95" customHeight="1">
      <c r="A589" s="77"/>
      <c r="B589" s="63" t="s">
        <v>849</v>
      </c>
      <c r="C589" s="44"/>
      <c r="D589" s="44" t="s">
        <v>259</v>
      </c>
      <c r="E589" s="45">
        <v>5869</v>
      </c>
      <c r="F589" s="55" t="s">
        <v>908</v>
      </c>
      <c r="G589" s="52">
        <v>1</v>
      </c>
      <c r="H589" s="73">
        <v>25.5</v>
      </c>
      <c r="I589" s="41">
        <f t="shared" si="14"/>
        <v>0</v>
      </c>
      <c r="J589" s="17"/>
      <c r="K589" s="17"/>
    </row>
    <row r="590" spans="1:11" ht="12.95" customHeight="1">
      <c r="A590" s="77"/>
      <c r="B590" s="80" t="s">
        <v>978</v>
      </c>
      <c r="C590" s="44"/>
      <c r="D590" s="91" t="s">
        <v>616</v>
      </c>
      <c r="E590" s="45">
        <v>5955</v>
      </c>
      <c r="F590" s="55" t="s">
        <v>445</v>
      </c>
      <c r="G590" s="52">
        <v>2</v>
      </c>
      <c r="H590" s="73">
        <v>47.8</v>
      </c>
      <c r="I590" s="41">
        <f>A590*H590</f>
        <v>0</v>
      </c>
      <c r="J590" s="17"/>
      <c r="K590" s="17"/>
    </row>
    <row r="591" spans="1:11" ht="12.95" customHeight="1">
      <c r="A591" s="77"/>
      <c r="B591" s="63" t="s">
        <v>573</v>
      </c>
      <c r="C591" s="44"/>
      <c r="D591" s="44" t="s">
        <v>260</v>
      </c>
      <c r="E591" s="45">
        <v>5089</v>
      </c>
      <c r="F591" s="39" t="s">
        <v>57</v>
      </c>
      <c r="G591" s="52">
        <v>2</v>
      </c>
      <c r="H591" s="73">
        <f>(Tabelle9[[#This Row],[ca. Anzahl
Titel pro Jahr]]*25.9)</f>
        <v>51.8</v>
      </c>
      <c r="I591" s="41">
        <f t="shared" si="14"/>
        <v>0</v>
      </c>
      <c r="J591" s="17"/>
      <c r="K591" s="17"/>
    </row>
    <row r="592" spans="1:11" ht="12.95" customHeight="1">
      <c r="A592" s="77"/>
      <c r="B592" s="63" t="s">
        <v>446</v>
      </c>
      <c r="C592" s="44"/>
      <c r="D592" s="44" t="s">
        <v>262</v>
      </c>
      <c r="E592" s="45">
        <v>5373</v>
      </c>
      <c r="F592" s="39" t="s">
        <v>57</v>
      </c>
      <c r="G592" s="52">
        <v>1</v>
      </c>
      <c r="H592" s="73">
        <v>18.5</v>
      </c>
      <c r="I592" s="41">
        <f t="shared" si="14"/>
        <v>0</v>
      </c>
      <c r="J592" s="17"/>
      <c r="K592" s="17"/>
    </row>
    <row r="593" spans="1:11" ht="12.95" customHeight="1">
      <c r="A593" s="77"/>
      <c r="B593" s="63" t="s">
        <v>850</v>
      </c>
      <c r="C593" s="44"/>
      <c r="D593" s="44" t="s">
        <v>31</v>
      </c>
      <c r="E593" s="45">
        <v>5852</v>
      </c>
      <c r="F593" s="55" t="s">
        <v>399</v>
      </c>
      <c r="G593" s="52">
        <v>2</v>
      </c>
      <c r="H593" s="73">
        <v>51</v>
      </c>
      <c r="I593" s="41">
        <f t="shared" si="14"/>
        <v>0</v>
      </c>
      <c r="J593" s="17"/>
      <c r="K593" s="17"/>
    </row>
    <row r="594" spans="1:11" ht="12.95" customHeight="1">
      <c r="A594" s="77"/>
      <c r="B594" s="63" t="s">
        <v>266</v>
      </c>
      <c r="C594" s="44"/>
      <c r="D594" s="44" t="s">
        <v>267</v>
      </c>
      <c r="E594" s="45">
        <v>5088</v>
      </c>
      <c r="F594" s="39" t="s">
        <v>57</v>
      </c>
      <c r="G594" s="52">
        <v>2</v>
      </c>
      <c r="H594" s="73">
        <f>(Tabelle9[[#This Row],[ca. Anzahl
Titel pro Jahr]]*24.3)</f>
        <v>48.6</v>
      </c>
      <c r="I594" s="41">
        <f t="shared" si="14"/>
        <v>0</v>
      </c>
      <c r="J594" s="17"/>
      <c r="K594" s="17"/>
    </row>
    <row r="595" spans="1:11" ht="12.95" customHeight="1">
      <c r="A595" s="77"/>
      <c r="B595" s="80" t="s">
        <v>1020</v>
      </c>
      <c r="C595" s="44"/>
      <c r="D595" s="91" t="s">
        <v>566</v>
      </c>
      <c r="E595" s="45">
        <v>5994</v>
      </c>
      <c r="F595" s="55" t="s">
        <v>1021</v>
      </c>
      <c r="G595" s="52">
        <v>2</v>
      </c>
      <c r="H595" s="73">
        <v>41</v>
      </c>
      <c r="I595" s="41">
        <f>A595*H595</f>
        <v>0</v>
      </c>
      <c r="J595" s="17"/>
      <c r="K595" s="17"/>
    </row>
    <row r="596" spans="1:11" ht="12.95" customHeight="1">
      <c r="A596" s="77"/>
      <c r="B596" s="63" t="s">
        <v>447</v>
      </c>
      <c r="C596" s="44"/>
      <c r="D596" s="44" t="s">
        <v>262</v>
      </c>
      <c r="E596" s="45">
        <v>5380</v>
      </c>
      <c r="F596" s="39" t="s">
        <v>245</v>
      </c>
      <c r="G596" s="52">
        <v>1</v>
      </c>
      <c r="H596" s="73">
        <f>(Tabelle9[[#This Row],[ca. Anzahl
Titel pro Jahr]]*24.3)</f>
        <v>24.3</v>
      </c>
      <c r="I596" s="41">
        <f t="shared" ref="I596:I615" si="15">A596*H596</f>
        <v>0</v>
      </c>
      <c r="J596" s="17"/>
      <c r="K596" s="17"/>
    </row>
    <row r="597" spans="1:11" ht="12.95" customHeight="1">
      <c r="A597" s="77"/>
      <c r="B597" s="63" t="s">
        <v>363</v>
      </c>
      <c r="C597" s="44"/>
      <c r="D597" s="44" t="s">
        <v>364</v>
      </c>
      <c r="E597" s="45">
        <v>5193</v>
      </c>
      <c r="F597" s="39" t="s">
        <v>365</v>
      </c>
      <c r="G597" s="52">
        <v>2</v>
      </c>
      <c r="H597" s="73">
        <f>(Tabelle9[[#This Row],[ca. Anzahl
Titel pro Jahr]]*20.3)</f>
        <v>40.6</v>
      </c>
      <c r="I597" s="41">
        <f t="shared" si="15"/>
        <v>0</v>
      </c>
      <c r="J597" s="17"/>
      <c r="K597" s="17"/>
    </row>
    <row r="598" spans="1:11" ht="12.95" customHeight="1">
      <c r="A598" s="77"/>
      <c r="B598" s="80" t="s">
        <v>911</v>
      </c>
      <c r="C598" s="44"/>
      <c r="D598" s="44" t="s">
        <v>58</v>
      </c>
      <c r="E598" s="45">
        <v>5914</v>
      </c>
      <c r="F598" s="55" t="s">
        <v>910</v>
      </c>
      <c r="G598" s="52">
        <v>1</v>
      </c>
      <c r="H598" s="73">
        <v>24.5</v>
      </c>
      <c r="I598" s="41">
        <f t="shared" si="15"/>
        <v>0</v>
      </c>
      <c r="J598" s="17"/>
      <c r="K598" s="92"/>
    </row>
    <row r="599" spans="1:11" ht="12.95" customHeight="1">
      <c r="A599" s="77"/>
      <c r="B599" s="63" t="s">
        <v>608</v>
      </c>
      <c r="C599" s="44"/>
      <c r="D599" s="44" t="s">
        <v>609</v>
      </c>
      <c r="E599" s="45">
        <v>5660</v>
      </c>
      <c r="F599" s="39" t="s">
        <v>445</v>
      </c>
      <c r="G599" s="52">
        <v>1</v>
      </c>
      <c r="H599" s="73">
        <f>(Tabelle9[[#This Row],[ca. Anzahl
Titel pro Jahr]]*22.9)</f>
        <v>22.9</v>
      </c>
      <c r="I599" s="41">
        <f t="shared" si="15"/>
        <v>0</v>
      </c>
      <c r="J599" s="17"/>
      <c r="K599" s="17"/>
    </row>
    <row r="600" spans="1:11" ht="12.95" customHeight="1">
      <c r="A600" s="77"/>
      <c r="B600" s="63" t="s">
        <v>851</v>
      </c>
      <c r="C600" s="44"/>
      <c r="D600" s="44" t="s">
        <v>812</v>
      </c>
      <c r="E600" s="45">
        <v>5891</v>
      </c>
      <c r="F600" s="55" t="s">
        <v>905</v>
      </c>
      <c r="G600" s="52">
        <v>1</v>
      </c>
      <c r="H600" s="73">
        <v>21.5</v>
      </c>
      <c r="I600" s="41">
        <f t="shared" si="15"/>
        <v>0</v>
      </c>
      <c r="J600" s="17"/>
      <c r="K600" s="17"/>
    </row>
    <row r="601" spans="1:11" ht="12.95" customHeight="1">
      <c r="A601" s="77"/>
      <c r="B601" s="63" t="s">
        <v>852</v>
      </c>
      <c r="C601" s="44"/>
      <c r="D601" s="44" t="s">
        <v>262</v>
      </c>
      <c r="E601" s="45">
        <v>5629</v>
      </c>
      <c r="F601" s="55" t="s">
        <v>25</v>
      </c>
      <c r="G601" s="52">
        <v>1</v>
      </c>
      <c r="H601" s="73">
        <v>25.5</v>
      </c>
      <c r="I601" s="41">
        <f t="shared" si="15"/>
        <v>0</v>
      </c>
      <c r="J601" s="17"/>
      <c r="K601" s="17"/>
    </row>
    <row r="602" spans="1:11" ht="12.95" customHeight="1">
      <c r="A602" s="77"/>
      <c r="B602" s="63" t="s">
        <v>853</v>
      </c>
      <c r="C602" s="44"/>
      <c r="D602" s="44" t="s">
        <v>854</v>
      </c>
      <c r="E602" s="45">
        <v>5860</v>
      </c>
      <c r="F602" s="55" t="s">
        <v>912</v>
      </c>
      <c r="G602" s="52">
        <v>1</v>
      </c>
      <c r="H602" s="73">
        <v>23.9</v>
      </c>
      <c r="I602" s="41">
        <f t="shared" si="15"/>
        <v>0</v>
      </c>
      <c r="J602" s="17"/>
      <c r="K602" s="17"/>
    </row>
    <row r="603" spans="1:11" ht="12.95" customHeight="1">
      <c r="A603" s="77"/>
      <c r="B603" s="63" t="s">
        <v>568</v>
      </c>
      <c r="C603" s="44"/>
      <c r="D603" s="44" t="s">
        <v>569</v>
      </c>
      <c r="E603" s="45">
        <v>5565</v>
      </c>
      <c r="F603" s="39" t="s">
        <v>445</v>
      </c>
      <c r="G603" s="52">
        <v>1</v>
      </c>
      <c r="H603" s="73">
        <v>20.5</v>
      </c>
      <c r="I603" s="41">
        <f t="shared" si="15"/>
        <v>0</v>
      </c>
      <c r="J603" s="17"/>
      <c r="K603" s="17"/>
    </row>
    <row r="604" spans="1:11" ht="12.95" customHeight="1">
      <c r="A604" s="77"/>
      <c r="B604" s="80" t="s">
        <v>982</v>
      </c>
      <c r="C604" s="44"/>
      <c r="D604" s="91" t="s">
        <v>614</v>
      </c>
      <c r="E604" s="45">
        <v>5963</v>
      </c>
      <c r="F604" s="55" t="s">
        <v>913</v>
      </c>
      <c r="G604" s="52">
        <v>1</v>
      </c>
      <c r="H604" s="73">
        <v>30</v>
      </c>
      <c r="I604" s="41">
        <f>A604*H604</f>
        <v>0</v>
      </c>
      <c r="J604" s="17"/>
      <c r="K604" s="17"/>
    </row>
    <row r="605" spans="1:11" ht="12.95" customHeight="1">
      <c r="A605" s="77"/>
      <c r="B605" s="63" t="s">
        <v>570</v>
      </c>
      <c r="C605" s="44"/>
      <c r="D605" s="44" t="s">
        <v>364</v>
      </c>
      <c r="E605" s="45">
        <v>5548</v>
      </c>
      <c r="F605" s="39" t="s">
        <v>571</v>
      </c>
      <c r="G605" s="52">
        <v>2</v>
      </c>
      <c r="H605" s="73">
        <f>(Tabelle9[[#This Row],[ca. Anzahl
Titel pro Jahr]]*20.3)</f>
        <v>40.6</v>
      </c>
      <c r="I605" s="41">
        <f t="shared" si="15"/>
        <v>0</v>
      </c>
      <c r="J605" s="17"/>
      <c r="K605" s="17"/>
    </row>
    <row r="606" spans="1:11" ht="12.95" customHeight="1">
      <c r="A606" s="77"/>
      <c r="B606" s="80" t="s">
        <v>989</v>
      </c>
      <c r="C606" s="44"/>
      <c r="D606" s="91" t="s">
        <v>812</v>
      </c>
      <c r="E606" s="45">
        <v>5945</v>
      </c>
      <c r="F606" s="55" t="s">
        <v>942</v>
      </c>
      <c r="G606" s="52">
        <v>1</v>
      </c>
      <c r="H606" s="73">
        <v>34.5</v>
      </c>
      <c r="I606" s="41">
        <f>A606*H606</f>
        <v>0</v>
      </c>
      <c r="J606" s="17"/>
      <c r="K606" s="17"/>
    </row>
    <row r="607" spans="1:11" ht="12.95" customHeight="1">
      <c r="A607" s="77"/>
      <c r="B607" s="80" t="s">
        <v>988</v>
      </c>
      <c r="C607" s="44"/>
      <c r="D607" s="91" t="s">
        <v>614</v>
      </c>
      <c r="E607" s="45">
        <v>5961</v>
      </c>
      <c r="F607" s="55" t="s">
        <v>445</v>
      </c>
      <c r="G607" s="52">
        <v>1</v>
      </c>
      <c r="H607" s="73">
        <v>33.5</v>
      </c>
      <c r="I607" s="41">
        <f>A607*H607</f>
        <v>0</v>
      </c>
      <c r="J607" s="17"/>
      <c r="K607" s="17"/>
    </row>
    <row r="608" spans="1:11" ht="12.95" customHeight="1">
      <c r="A608" s="77"/>
      <c r="B608" s="63" t="s">
        <v>448</v>
      </c>
      <c r="C608" s="44"/>
      <c r="D608" s="44" t="s">
        <v>362</v>
      </c>
      <c r="E608" s="45">
        <v>5372</v>
      </c>
      <c r="F608" s="39" t="s">
        <v>57</v>
      </c>
      <c r="G608" s="52">
        <v>1</v>
      </c>
      <c r="H608" s="73">
        <v>24.3</v>
      </c>
      <c r="I608" s="41">
        <f t="shared" si="15"/>
        <v>0</v>
      </c>
      <c r="J608" s="17"/>
      <c r="K608" s="17"/>
    </row>
    <row r="609" spans="1:11" ht="12.95" customHeight="1">
      <c r="A609" s="77"/>
      <c r="B609" s="63" t="s">
        <v>712</v>
      </c>
      <c r="C609" s="44"/>
      <c r="D609" s="44" t="s">
        <v>663</v>
      </c>
      <c r="E609" s="45">
        <v>5842</v>
      </c>
      <c r="F609" s="39" t="s">
        <v>445</v>
      </c>
      <c r="G609" s="52">
        <v>2</v>
      </c>
      <c r="H609" s="73">
        <v>49</v>
      </c>
      <c r="I609" s="41">
        <f t="shared" si="15"/>
        <v>0</v>
      </c>
      <c r="J609" s="17"/>
      <c r="K609" s="17"/>
    </row>
    <row r="610" spans="1:11" ht="12.95" customHeight="1">
      <c r="A610" s="77"/>
      <c r="B610" s="63" t="s">
        <v>449</v>
      </c>
      <c r="C610" s="44"/>
      <c r="D610" s="44" t="s">
        <v>26</v>
      </c>
      <c r="E610" s="45">
        <v>5323</v>
      </c>
      <c r="F610" s="39" t="s">
        <v>445</v>
      </c>
      <c r="G610" s="52">
        <v>1</v>
      </c>
      <c r="H610" s="73">
        <v>17.5</v>
      </c>
      <c r="I610" s="41">
        <f t="shared" si="15"/>
        <v>0</v>
      </c>
      <c r="J610" s="17"/>
      <c r="K610" s="17"/>
    </row>
    <row r="611" spans="1:11" ht="12.95" customHeight="1">
      <c r="A611" s="77"/>
      <c r="B611" s="63" t="s">
        <v>664</v>
      </c>
      <c r="C611" s="44"/>
      <c r="D611" s="44" t="s">
        <v>665</v>
      </c>
      <c r="E611" s="45">
        <v>5756</v>
      </c>
      <c r="F611" s="39" t="s">
        <v>666</v>
      </c>
      <c r="G611" s="52">
        <v>1</v>
      </c>
      <c r="H611" s="73">
        <v>26</v>
      </c>
      <c r="I611" s="41">
        <f t="shared" si="15"/>
        <v>0</v>
      </c>
      <c r="J611" s="17"/>
      <c r="K611" s="17"/>
    </row>
    <row r="612" spans="1:11" ht="12.95" customHeight="1">
      <c r="A612" s="77"/>
      <c r="B612" s="80" t="s">
        <v>997</v>
      </c>
      <c r="C612" s="44"/>
      <c r="D612" s="91" t="s">
        <v>31</v>
      </c>
      <c r="E612" s="45">
        <v>5968</v>
      </c>
      <c r="F612" s="55" t="s">
        <v>399</v>
      </c>
      <c r="G612" s="52">
        <v>1</v>
      </c>
      <c r="H612" s="73">
        <v>33.5</v>
      </c>
      <c r="I612" s="41">
        <f>A612*H612</f>
        <v>0</v>
      </c>
      <c r="J612" s="17"/>
      <c r="K612" s="17"/>
    </row>
    <row r="613" spans="1:11" ht="12.95" customHeight="1">
      <c r="A613" s="77"/>
      <c r="B613" s="80" t="s">
        <v>998</v>
      </c>
      <c r="C613" s="44"/>
      <c r="D613" s="91" t="s">
        <v>999</v>
      </c>
      <c r="E613" s="45">
        <v>5962</v>
      </c>
      <c r="F613" s="55" t="s">
        <v>1000</v>
      </c>
      <c r="G613" s="52">
        <v>1</v>
      </c>
      <c r="H613" s="73">
        <v>26.9</v>
      </c>
      <c r="I613" s="41">
        <f>A613*H613</f>
        <v>0</v>
      </c>
      <c r="J613" s="17"/>
      <c r="K613" s="17"/>
    </row>
    <row r="614" spans="1:11" ht="12.95" customHeight="1">
      <c r="A614" s="77"/>
      <c r="B614" s="80" t="s">
        <v>1005</v>
      </c>
      <c r="C614" s="44"/>
      <c r="D614" s="91" t="s">
        <v>616</v>
      </c>
      <c r="E614" s="45">
        <v>5953</v>
      </c>
      <c r="F614" s="55" t="s">
        <v>1006</v>
      </c>
      <c r="G614" s="52">
        <v>1</v>
      </c>
      <c r="H614" s="73">
        <v>32</v>
      </c>
      <c r="I614" s="41">
        <f>A614*H614</f>
        <v>0</v>
      </c>
      <c r="J614" s="17"/>
      <c r="K614" s="17"/>
    </row>
    <row r="615" spans="1:11" ht="12.95" customHeight="1">
      <c r="A615" s="77"/>
      <c r="B615" s="63" t="s">
        <v>855</v>
      </c>
      <c r="C615" s="44"/>
      <c r="D615" s="44" t="s">
        <v>614</v>
      </c>
      <c r="E615" s="45">
        <v>5859</v>
      </c>
      <c r="F615" s="55" t="s">
        <v>914</v>
      </c>
      <c r="G615" s="52">
        <v>1</v>
      </c>
      <c r="H615" s="73">
        <v>22.9</v>
      </c>
      <c r="I615" s="41">
        <f t="shared" si="15"/>
        <v>0</v>
      </c>
      <c r="J615" s="17"/>
      <c r="K615" s="17"/>
    </row>
    <row r="616" spans="1:11" ht="12.95" customHeight="1">
      <c r="A616" s="18"/>
      <c r="B616" s="64"/>
      <c r="C616" s="19"/>
      <c r="D616" s="19"/>
      <c r="E616" s="20"/>
      <c r="G616" s="25"/>
      <c r="H616" s="70"/>
      <c r="I616" s="22"/>
      <c r="J616" s="24"/>
      <c r="K616" s="24"/>
    </row>
    <row r="617" spans="1:11" ht="12.95" customHeight="1">
      <c r="A617" s="9"/>
      <c r="C617" s="9"/>
      <c r="D617" s="9"/>
      <c r="E617" s="9"/>
      <c r="F617" s="9"/>
      <c r="G617" s="9"/>
      <c r="H617" s="71" t="s">
        <v>345</v>
      </c>
      <c r="I617" s="35">
        <f>SUM(I525:I615)</f>
        <v>0</v>
      </c>
    </row>
    <row r="618" spans="1:11" ht="12.95" customHeight="1">
      <c r="A618" s="9"/>
      <c r="C618" s="9"/>
      <c r="D618" s="9"/>
      <c r="E618" s="9"/>
      <c r="F618" s="9"/>
      <c r="G618" s="9"/>
      <c r="H618" s="71"/>
      <c r="I618" s="35"/>
    </row>
    <row r="619" spans="1:11" ht="12.95" customHeight="1">
      <c r="A619" s="9"/>
      <c r="C619" s="9"/>
      <c r="D619" s="9"/>
      <c r="E619" s="9"/>
      <c r="F619" s="9"/>
      <c r="G619" s="9"/>
    </row>
    <row r="620" spans="1:11" ht="18" customHeight="1">
      <c r="A620" s="97" t="s">
        <v>1065</v>
      </c>
      <c r="B620" s="98"/>
      <c r="C620" s="98"/>
      <c r="D620" s="98"/>
      <c r="E620" s="98"/>
      <c r="F620" s="98"/>
      <c r="G620" s="98"/>
      <c r="H620" s="98"/>
      <c r="I620" s="98"/>
      <c r="J620" s="98"/>
      <c r="K620" s="99"/>
    </row>
    <row r="621" spans="1:11" s="16" customFormat="1" ht="52.5" customHeight="1">
      <c r="A621" s="29" t="s">
        <v>5</v>
      </c>
      <c r="B621" s="61" t="s">
        <v>6</v>
      </c>
      <c r="C621" s="30" t="s">
        <v>405</v>
      </c>
      <c r="D621" s="31" t="s">
        <v>7</v>
      </c>
      <c r="E621" s="32" t="s">
        <v>8</v>
      </c>
      <c r="F621" s="31" t="s">
        <v>406</v>
      </c>
      <c r="G621" s="33" t="s">
        <v>10</v>
      </c>
      <c r="H621" s="69" t="s">
        <v>11</v>
      </c>
      <c r="I621" s="33" t="s">
        <v>347</v>
      </c>
      <c r="J621" s="33" t="s">
        <v>12</v>
      </c>
      <c r="K621" s="33" t="s">
        <v>13</v>
      </c>
    </row>
    <row r="622" spans="1:11" ht="12.95" customHeight="1">
      <c r="A622" s="77"/>
      <c r="B622" s="51" t="s">
        <v>385</v>
      </c>
      <c r="C622" s="37"/>
      <c r="D622" s="37" t="s">
        <v>386</v>
      </c>
      <c r="E622" s="38">
        <v>5256</v>
      </c>
      <c r="F622" s="39"/>
      <c r="G622" s="43">
        <v>5</v>
      </c>
      <c r="H622" s="53">
        <f>(17.7*Tabelle10[[#This Row],[ca. Anzahl
Titel pro Jahr]])</f>
        <v>88.5</v>
      </c>
      <c r="I622" s="41">
        <f t="shared" ref="I622:I653" si="16">A622*H622</f>
        <v>0</v>
      </c>
      <c r="J622" s="17"/>
      <c r="K622" s="17"/>
    </row>
    <row r="623" spans="1:11" ht="12.95" customHeight="1">
      <c r="A623" s="77"/>
      <c r="B623" s="62" t="s">
        <v>639</v>
      </c>
      <c r="C623" s="37"/>
      <c r="D623" s="37" t="s">
        <v>268</v>
      </c>
      <c r="E623" s="38">
        <v>2497</v>
      </c>
      <c r="F623" s="39"/>
      <c r="G623" s="43">
        <v>26</v>
      </c>
      <c r="H623" s="53">
        <f>(25.9*Tabelle10[[#This Row],[ca. Anzahl
Titel pro Jahr]])</f>
        <v>673.4</v>
      </c>
      <c r="I623" s="41">
        <f t="shared" si="16"/>
        <v>0</v>
      </c>
      <c r="J623" s="17"/>
      <c r="K623" s="17"/>
    </row>
    <row r="624" spans="1:11" ht="12.95" customHeight="1">
      <c r="A624" s="77"/>
      <c r="B624" s="51" t="s">
        <v>270</v>
      </c>
      <c r="C624" s="37"/>
      <c r="D624" s="37" t="s">
        <v>269</v>
      </c>
      <c r="E624" s="38">
        <v>2206</v>
      </c>
      <c r="F624" s="39"/>
      <c r="G624" s="43">
        <v>2</v>
      </c>
      <c r="H624" s="53">
        <f>(40.9*Tabelle10[[#This Row],[ca. Anzahl
Titel pro Jahr]])</f>
        <v>81.8</v>
      </c>
      <c r="I624" s="41">
        <f t="shared" si="16"/>
        <v>0</v>
      </c>
      <c r="J624" s="17"/>
      <c r="K624" s="17"/>
    </row>
    <row r="625" spans="1:11" ht="12.95" customHeight="1">
      <c r="A625" s="77"/>
      <c r="B625" s="51" t="s">
        <v>271</v>
      </c>
      <c r="C625" s="37"/>
      <c r="D625" s="37" t="s">
        <v>269</v>
      </c>
      <c r="E625" s="38">
        <v>2205</v>
      </c>
      <c r="F625" s="39"/>
      <c r="G625" s="43">
        <v>8</v>
      </c>
      <c r="H625" s="53">
        <f>(19.5*Tabelle10[[#This Row],[ca. Anzahl
Titel pro Jahr]])</f>
        <v>156</v>
      </c>
      <c r="I625" s="41">
        <f t="shared" si="16"/>
        <v>0</v>
      </c>
      <c r="J625" s="17"/>
      <c r="K625" s="17"/>
    </row>
    <row r="626" spans="1:11" ht="12.95" customHeight="1">
      <c r="A626" s="77"/>
      <c r="B626" s="62" t="s">
        <v>272</v>
      </c>
      <c r="C626" s="37"/>
      <c r="D626" s="37" t="s">
        <v>269</v>
      </c>
      <c r="E626" s="38">
        <v>2310</v>
      </c>
      <c r="F626" s="39"/>
      <c r="G626" s="43">
        <v>8</v>
      </c>
      <c r="H626" s="53">
        <f>(24.3*Tabelle10[[#This Row],[ca. Anzahl
Titel pro Jahr]])</f>
        <v>194.4</v>
      </c>
      <c r="I626" s="41">
        <f t="shared" si="16"/>
        <v>0</v>
      </c>
      <c r="J626" s="17"/>
      <c r="K626" s="17"/>
    </row>
    <row r="627" spans="1:11" ht="12.95" customHeight="1">
      <c r="A627" s="77"/>
      <c r="B627" s="51" t="s">
        <v>574</v>
      </c>
      <c r="C627" s="37"/>
      <c r="D627" s="37" t="s">
        <v>269</v>
      </c>
      <c r="E627" s="38">
        <v>4420</v>
      </c>
      <c r="F627" s="39"/>
      <c r="G627" s="43">
        <v>1</v>
      </c>
      <c r="H627" s="53">
        <v>41.9</v>
      </c>
      <c r="I627" s="41">
        <f t="shared" si="16"/>
        <v>0</v>
      </c>
      <c r="J627" s="17"/>
      <c r="K627" s="17"/>
    </row>
    <row r="628" spans="1:11" ht="12.95" customHeight="1">
      <c r="A628" s="77"/>
      <c r="B628" s="62" t="s">
        <v>640</v>
      </c>
      <c r="C628" s="37"/>
      <c r="D628" s="37" t="s">
        <v>273</v>
      </c>
      <c r="E628" s="38">
        <v>559</v>
      </c>
      <c r="F628" s="39"/>
      <c r="G628" s="43">
        <v>19</v>
      </c>
      <c r="H628" s="53">
        <f>(30.9*Tabelle10[[#This Row],[ca. Anzahl
Titel pro Jahr]])</f>
        <v>587.1</v>
      </c>
      <c r="I628" s="41">
        <f t="shared" si="16"/>
        <v>0</v>
      </c>
      <c r="J628" s="17"/>
      <c r="K628" s="17"/>
    </row>
    <row r="629" spans="1:11" ht="12.95" customHeight="1">
      <c r="A629" s="77"/>
      <c r="B629" s="62" t="s">
        <v>641</v>
      </c>
      <c r="C629" s="37"/>
      <c r="D629" s="37" t="s">
        <v>273</v>
      </c>
      <c r="E629" s="38">
        <v>2490</v>
      </c>
      <c r="F629" s="39"/>
      <c r="G629" s="43">
        <v>17</v>
      </c>
      <c r="H629" s="53">
        <v>474.3</v>
      </c>
      <c r="I629" s="41">
        <f t="shared" si="16"/>
        <v>0</v>
      </c>
      <c r="J629" s="17"/>
      <c r="K629" s="17"/>
    </row>
    <row r="630" spans="1:11" ht="12.95" customHeight="1">
      <c r="A630" s="77"/>
      <c r="B630" s="75" t="s">
        <v>575</v>
      </c>
      <c r="C630" s="37"/>
      <c r="D630" s="37" t="s">
        <v>274</v>
      </c>
      <c r="E630" s="38">
        <v>10</v>
      </c>
      <c r="F630" s="39"/>
      <c r="G630" s="43">
        <v>13</v>
      </c>
      <c r="H630" s="53">
        <f>(25.5*Tabelle10[[#This Row],[ca. Anzahl
Titel pro Jahr]])</f>
        <v>331.5</v>
      </c>
      <c r="I630" s="41">
        <f t="shared" si="16"/>
        <v>0</v>
      </c>
      <c r="J630" s="17"/>
      <c r="K630" s="17"/>
    </row>
    <row r="631" spans="1:11" ht="12.95" customHeight="1">
      <c r="A631" s="77"/>
      <c r="B631" s="51" t="s">
        <v>389</v>
      </c>
      <c r="C631" s="37"/>
      <c r="D631" s="37" t="s">
        <v>152</v>
      </c>
      <c r="E631" s="38">
        <v>5233</v>
      </c>
      <c r="F631" s="39"/>
      <c r="G631" s="43">
        <v>4</v>
      </c>
      <c r="H631" s="53">
        <f>(37.9*Tabelle10[[#This Row],[ca. Anzahl
Titel pro Jahr]])</f>
        <v>151.6</v>
      </c>
      <c r="I631" s="41">
        <f t="shared" si="16"/>
        <v>0</v>
      </c>
      <c r="J631" s="17"/>
      <c r="K631" s="17"/>
    </row>
    <row r="632" spans="1:11" ht="12.95" customHeight="1">
      <c r="A632" s="77"/>
      <c r="B632" s="62" t="s">
        <v>275</v>
      </c>
      <c r="C632" s="37"/>
      <c r="D632" s="37" t="s">
        <v>276</v>
      </c>
      <c r="E632" s="38">
        <v>2381</v>
      </c>
      <c r="F632" s="39"/>
      <c r="G632" s="43">
        <v>26</v>
      </c>
      <c r="H632" s="53">
        <v>663</v>
      </c>
      <c r="I632" s="41">
        <f t="shared" si="16"/>
        <v>0</v>
      </c>
      <c r="J632" s="17"/>
      <c r="K632" s="17"/>
    </row>
    <row r="633" spans="1:11" ht="12.95" customHeight="1">
      <c r="A633" s="77"/>
      <c r="B633" s="62" t="s">
        <v>930</v>
      </c>
      <c r="C633" s="37"/>
      <c r="D633" s="54" t="s">
        <v>931</v>
      </c>
      <c r="E633" s="38">
        <v>4608</v>
      </c>
      <c r="F633" s="39"/>
      <c r="G633" s="43">
        <v>18</v>
      </c>
      <c r="H633" s="53">
        <v>376.2</v>
      </c>
      <c r="I633" s="41">
        <f>A633*H633</f>
        <v>0</v>
      </c>
      <c r="J633" s="17"/>
      <c r="K633" s="17"/>
    </row>
    <row r="634" spans="1:11" ht="12.95" customHeight="1">
      <c r="A634" s="77"/>
      <c r="B634" s="51" t="s">
        <v>576</v>
      </c>
      <c r="C634" s="37"/>
      <c r="D634" s="37" t="s">
        <v>451</v>
      </c>
      <c r="E634" s="38">
        <v>5359</v>
      </c>
      <c r="F634" s="39"/>
      <c r="G634" s="43">
        <v>1</v>
      </c>
      <c r="H634" s="53">
        <f>(17.7*Tabelle10[[#This Row],[ca. Anzahl
Titel pro Jahr]])</f>
        <v>17.7</v>
      </c>
      <c r="I634" s="41">
        <f t="shared" si="16"/>
        <v>0</v>
      </c>
      <c r="J634" s="17"/>
      <c r="K634" s="17"/>
    </row>
    <row r="635" spans="1:11" ht="12.95" customHeight="1">
      <c r="A635" s="77"/>
      <c r="B635" s="62" t="s">
        <v>277</v>
      </c>
      <c r="C635" s="37"/>
      <c r="D635" s="37" t="s">
        <v>278</v>
      </c>
      <c r="E635" s="38">
        <v>4282</v>
      </c>
      <c r="F635" s="39"/>
      <c r="G635" s="43">
        <v>21</v>
      </c>
      <c r="H635" s="53">
        <v>451.5</v>
      </c>
      <c r="I635" s="41">
        <f t="shared" si="16"/>
        <v>0</v>
      </c>
      <c r="J635" s="17"/>
      <c r="K635" s="17"/>
    </row>
    <row r="636" spans="1:11" ht="12.95" customHeight="1">
      <c r="A636" s="77"/>
      <c r="B636" s="62" t="s">
        <v>642</v>
      </c>
      <c r="C636" s="37"/>
      <c r="D636" s="37" t="s">
        <v>278</v>
      </c>
      <c r="E636" s="38">
        <v>1107</v>
      </c>
      <c r="F636" s="39"/>
      <c r="G636" s="43">
        <v>49</v>
      </c>
      <c r="H636" s="53">
        <v>1102.5</v>
      </c>
      <c r="I636" s="41">
        <f t="shared" si="16"/>
        <v>0</v>
      </c>
      <c r="J636" s="17"/>
      <c r="K636" s="17"/>
    </row>
    <row r="637" spans="1:11" ht="12.95" customHeight="1">
      <c r="A637" s="77"/>
      <c r="B637" s="62" t="s">
        <v>279</v>
      </c>
      <c r="C637" s="37"/>
      <c r="D637" s="37" t="s">
        <v>278</v>
      </c>
      <c r="E637" s="38">
        <v>1221</v>
      </c>
      <c r="F637" s="39"/>
      <c r="G637" s="43">
        <v>22</v>
      </c>
      <c r="H637" s="53">
        <v>811.8</v>
      </c>
      <c r="I637" s="41">
        <f t="shared" si="16"/>
        <v>0</v>
      </c>
      <c r="J637" s="17"/>
      <c r="K637" s="17"/>
    </row>
    <row r="638" spans="1:11" ht="12.95" customHeight="1">
      <c r="A638" s="77"/>
      <c r="B638" s="62" t="s">
        <v>280</v>
      </c>
      <c r="C638" s="37"/>
      <c r="D638" s="37" t="s">
        <v>278</v>
      </c>
      <c r="E638" s="38">
        <v>392</v>
      </c>
      <c r="F638" s="39"/>
      <c r="G638" s="43">
        <v>38</v>
      </c>
      <c r="H638" s="53">
        <v>1060.2</v>
      </c>
      <c r="I638" s="41">
        <f t="shared" si="16"/>
        <v>0</v>
      </c>
      <c r="J638" s="17"/>
      <c r="K638" s="17"/>
    </row>
    <row r="639" spans="1:11" ht="12.95" customHeight="1">
      <c r="A639" s="77"/>
      <c r="B639" s="62" t="s">
        <v>956</v>
      </c>
      <c r="C639" s="37"/>
      <c r="D639" s="54" t="s">
        <v>957</v>
      </c>
      <c r="E639" s="38">
        <v>5655</v>
      </c>
      <c r="F639" s="39"/>
      <c r="G639" s="43">
        <v>5</v>
      </c>
      <c r="H639" s="53">
        <v>124.5</v>
      </c>
      <c r="I639" s="41">
        <f>A639*H639</f>
        <v>0</v>
      </c>
      <c r="J639" s="17"/>
      <c r="K639" s="17"/>
    </row>
    <row r="640" spans="1:11" ht="12.95" customHeight="1">
      <c r="A640" s="77"/>
      <c r="B640" s="62" t="s">
        <v>281</v>
      </c>
      <c r="C640" s="37"/>
      <c r="D640" s="37" t="s">
        <v>282</v>
      </c>
      <c r="E640" s="38">
        <v>4405</v>
      </c>
      <c r="F640" s="39"/>
      <c r="G640" s="43">
        <v>3</v>
      </c>
      <c r="H640" s="53">
        <f>(20.3*Tabelle10[[#This Row],[ca. Anzahl
Titel pro Jahr]])</f>
        <v>60.900000000000006</v>
      </c>
      <c r="I640" s="41">
        <f t="shared" si="16"/>
        <v>0</v>
      </c>
      <c r="J640" s="17"/>
      <c r="K640" s="17"/>
    </row>
    <row r="641" spans="1:11" ht="12.95" customHeight="1">
      <c r="A641" s="77"/>
      <c r="B641" s="62" t="s">
        <v>966</v>
      </c>
      <c r="C641" s="37"/>
      <c r="D641" s="54" t="s">
        <v>283</v>
      </c>
      <c r="E641" s="38">
        <v>4613</v>
      </c>
      <c r="F641" s="39"/>
      <c r="G641" s="43">
        <v>1</v>
      </c>
      <c r="H641" s="53">
        <v>34</v>
      </c>
      <c r="I641" s="41">
        <f>A641*H641</f>
        <v>0</v>
      </c>
      <c r="J641" s="17"/>
      <c r="K641" s="17"/>
    </row>
    <row r="642" spans="1:11" ht="12.95" customHeight="1">
      <c r="A642" s="77"/>
      <c r="B642" s="62" t="s">
        <v>915</v>
      </c>
      <c r="C642" s="37"/>
      <c r="D642" s="37" t="s">
        <v>916</v>
      </c>
      <c r="E642" s="38">
        <v>5618</v>
      </c>
      <c r="F642" s="39"/>
      <c r="G642" s="43">
        <v>5</v>
      </c>
      <c r="H642" s="53">
        <v>109.5</v>
      </c>
      <c r="I642" s="41">
        <f t="shared" si="16"/>
        <v>0</v>
      </c>
      <c r="J642" s="17"/>
      <c r="K642" s="17"/>
    </row>
    <row r="643" spans="1:11" ht="12.95" customHeight="1">
      <c r="A643" s="77"/>
      <c r="B643" s="62" t="s">
        <v>284</v>
      </c>
      <c r="C643" s="37"/>
      <c r="D643" s="37" t="s">
        <v>285</v>
      </c>
      <c r="E643" s="38">
        <v>2382</v>
      </c>
      <c r="F643" s="39"/>
      <c r="G643" s="43">
        <v>13</v>
      </c>
      <c r="H643" s="53">
        <v>448.5</v>
      </c>
      <c r="I643" s="41">
        <f t="shared" si="16"/>
        <v>0</v>
      </c>
      <c r="J643" s="17"/>
      <c r="K643" s="17"/>
    </row>
    <row r="644" spans="1:11" ht="12.95" customHeight="1">
      <c r="A644" s="77"/>
      <c r="B644" s="79" t="s">
        <v>286</v>
      </c>
      <c r="C644" s="37"/>
      <c r="D644" s="37" t="s">
        <v>285</v>
      </c>
      <c r="E644" s="38">
        <v>4040</v>
      </c>
      <c r="F644" s="39"/>
      <c r="G644" s="43">
        <v>1</v>
      </c>
      <c r="H644" s="53">
        <v>27.9</v>
      </c>
      <c r="I644" s="41">
        <f t="shared" si="16"/>
        <v>0</v>
      </c>
      <c r="J644" s="17"/>
      <c r="K644" s="17"/>
    </row>
    <row r="645" spans="1:11" ht="12.95" customHeight="1">
      <c r="A645" s="77"/>
      <c r="B645" s="62" t="s">
        <v>917</v>
      </c>
      <c r="C645" s="37"/>
      <c r="D645" s="37" t="s">
        <v>918</v>
      </c>
      <c r="E645" s="38">
        <v>4747</v>
      </c>
      <c r="F645" s="39"/>
      <c r="G645" s="43">
        <v>4</v>
      </c>
      <c r="H645" s="53">
        <v>56</v>
      </c>
      <c r="I645" s="41">
        <f t="shared" si="16"/>
        <v>0</v>
      </c>
      <c r="J645" s="17"/>
      <c r="K645" s="17"/>
    </row>
    <row r="646" spans="1:11" ht="12.95" customHeight="1">
      <c r="A646" s="77"/>
      <c r="B646" s="51" t="s">
        <v>287</v>
      </c>
      <c r="C646" s="37"/>
      <c r="D646" s="37" t="s">
        <v>288</v>
      </c>
      <c r="E646" s="38">
        <v>469</v>
      </c>
      <c r="F646" s="39"/>
      <c r="G646" s="43">
        <v>12</v>
      </c>
      <c r="H646" s="53">
        <f>(20.3*Tabelle10[[#This Row],[ca. Anzahl
Titel pro Jahr]])</f>
        <v>243.60000000000002</v>
      </c>
      <c r="I646" s="41">
        <f t="shared" si="16"/>
        <v>0</v>
      </c>
      <c r="J646" s="17"/>
      <c r="K646" s="17"/>
    </row>
    <row r="647" spans="1:11" ht="12.95" customHeight="1">
      <c r="A647" s="77"/>
      <c r="B647" s="51" t="s">
        <v>289</v>
      </c>
      <c r="C647" s="37"/>
      <c r="D647" s="37" t="s">
        <v>290</v>
      </c>
      <c r="E647" s="38">
        <v>4421</v>
      </c>
      <c r="F647" s="39"/>
      <c r="G647" s="43">
        <v>11</v>
      </c>
      <c r="H647" s="53">
        <v>214.5</v>
      </c>
      <c r="I647" s="41">
        <f t="shared" si="16"/>
        <v>0</v>
      </c>
      <c r="J647" s="17"/>
      <c r="K647" s="17"/>
    </row>
    <row r="648" spans="1:11" ht="12.95" customHeight="1">
      <c r="A648" s="77"/>
      <c r="B648" s="51" t="s">
        <v>291</v>
      </c>
      <c r="C648" s="37"/>
      <c r="D648" s="37" t="s">
        <v>255</v>
      </c>
      <c r="E648" s="38">
        <v>4614</v>
      </c>
      <c r="F648" s="39"/>
      <c r="G648" s="43">
        <v>10</v>
      </c>
      <c r="H648" s="53">
        <f>(14.7*Tabelle10[[#This Row],[ca. Anzahl
Titel pro Jahr]])</f>
        <v>147</v>
      </c>
      <c r="I648" s="41">
        <f t="shared" si="16"/>
        <v>0</v>
      </c>
      <c r="J648" s="17"/>
      <c r="K648" s="17"/>
    </row>
    <row r="649" spans="1:11" ht="12.95" customHeight="1">
      <c r="A649" s="77"/>
      <c r="B649" s="51" t="s">
        <v>292</v>
      </c>
      <c r="C649" s="37"/>
      <c r="D649" s="37" t="s">
        <v>283</v>
      </c>
      <c r="E649" s="38">
        <v>402</v>
      </c>
      <c r="F649" s="39" t="s">
        <v>403</v>
      </c>
      <c r="G649" s="43">
        <v>2</v>
      </c>
      <c r="H649" s="53">
        <f>(34.5*Tabelle10[[#This Row],[ca. Anzahl
Titel pro Jahr]])</f>
        <v>69</v>
      </c>
      <c r="I649" s="41">
        <f t="shared" si="16"/>
        <v>0</v>
      </c>
      <c r="J649" s="17"/>
      <c r="K649" s="17"/>
    </row>
    <row r="650" spans="1:11" ht="12.95" customHeight="1">
      <c r="A650" s="77"/>
      <c r="B650" s="62" t="s">
        <v>293</v>
      </c>
      <c r="C650" s="37"/>
      <c r="D650" s="37" t="s">
        <v>294</v>
      </c>
      <c r="E650" s="38">
        <v>2383</v>
      </c>
      <c r="F650" s="39"/>
      <c r="G650" s="43">
        <v>11</v>
      </c>
      <c r="H650" s="53">
        <v>405.9</v>
      </c>
      <c r="I650" s="41">
        <f t="shared" si="16"/>
        <v>0</v>
      </c>
      <c r="J650" s="17"/>
      <c r="K650" s="17"/>
    </row>
    <row r="651" spans="1:11" ht="12.95" customHeight="1">
      <c r="A651" s="77"/>
      <c r="B651" s="62" t="s">
        <v>295</v>
      </c>
      <c r="C651" s="37"/>
      <c r="D651" s="37" t="s">
        <v>296</v>
      </c>
      <c r="E651" s="38">
        <v>2208</v>
      </c>
      <c r="F651" s="39"/>
      <c r="G651" s="43">
        <v>130</v>
      </c>
      <c r="H651" s="53">
        <f>(22.9*Tabelle10[[#This Row],[ca. Anzahl
Titel pro Jahr]])</f>
        <v>2977</v>
      </c>
      <c r="I651" s="41">
        <f t="shared" si="16"/>
        <v>0</v>
      </c>
      <c r="J651" s="17"/>
      <c r="K651" s="17"/>
    </row>
    <row r="652" spans="1:11" ht="12.95" customHeight="1">
      <c r="A652" s="77"/>
      <c r="B652" s="51" t="s">
        <v>520</v>
      </c>
      <c r="C652" s="37"/>
      <c r="D652" s="37" t="s">
        <v>34</v>
      </c>
      <c r="E652" s="38">
        <v>4882</v>
      </c>
      <c r="F652" s="39"/>
      <c r="G652" s="43">
        <v>3</v>
      </c>
      <c r="H652" s="53">
        <f>(17.3*Tabelle10[[#This Row],[ca. Anzahl
Titel pro Jahr]])</f>
        <v>51.900000000000006</v>
      </c>
      <c r="I652" s="41">
        <f t="shared" si="16"/>
        <v>0</v>
      </c>
      <c r="J652" s="17"/>
      <c r="K652" s="17"/>
    </row>
    <row r="653" spans="1:11" ht="12.95" customHeight="1">
      <c r="A653" s="77"/>
      <c r="B653" s="62" t="s">
        <v>298</v>
      </c>
      <c r="C653" s="37"/>
      <c r="D653" s="37" t="s">
        <v>297</v>
      </c>
      <c r="E653" s="38">
        <v>2209</v>
      </c>
      <c r="F653" s="39"/>
      <c r="G653" s="43">
        <v>41</v>
      </c>
      <c r="H653" s="53">
        <v>1143.9000000000001</v>
      </c>
      <c r="I653" s="41">
        <f t="shared" si="16"/>
        <v>0</v>
      </c>
      <c r="J653" s="17"/>
      <c r="K653" s="17"/>
    </row>
    <row r="654" spans="1:11" ht="12.95" customHeight="1">
      <c r="A654" s="77"/>
      <c r="B654" s="62" t="s">
        <v>299</v>
      </c>
      <c r="C654" s="37"/>
      <c r="D654" s="37" t="s">
        <v>297</v>
      </c>
      <c r="E654" s="38">
        <v>2385</v>
      </c>
      <c r="F654" s="39"/>
      <c r="G654" s="43">
        <v>13</v>
      </c>
      <c r="H654" s="53">
        <v>362.7</v>
      </c>
      <c r="I654" s="41">
        <f t="shared" ref="I654:I674" si="17">A654*H654</f>
        <v>0</v>
      </c>
      <c r="J654" s="17"/>
      <c r="K654" s="17"/>
    </row>
    <row r="655" spans="1:11" ht="12.95" customHeight="1">
      <c r="A655" s="77"/>
      <c r="B655" s="62" t="s">
        <v>577</v>
      </c>
      <c r="C655" s="37"/>
      <c r="D655" s="37" t="s">
        <v>300</v>
      </c>
      <c r="E655" s="38">
        <v>2386</v>
      </c>
      <c r="F655" s="39"/>
      <c r="G655" s="43">
        <v>1</v>
      </c>
      <c r="H655" s="53">
        <v>34.5</v>
      </c>
      <c r="I655" s="41">
        <f t="shared" si="17"/>
        <v>0</v>
      </c>
      <c r="J655" s="17"/>
      <c r="K655" s="17"/>
    </row>
    <row r="656" spans="1:11" ht="12.95" customHeight="1">
      <c r="A656" s="77"/>
      <c r="B656" s="62" t="s">
        <v>301</v>
      </c>
      <c r="C656" s="37"/>
      <c r="D656" s="37" t="s">
        <v>302</v>
      </c>
      <c r="E656" s="38">
        <v>4616</v>
      </c>
      <c r="F656" s="39"/>
      <c r="G656" s="43">
        <v>8</v>
      </c>
      <c r="H656" s="53">
        <f>(40.5*Tabelle10[[#This Row],[ca. Anzahl
Titel pro Jahr]])</f>
        <v>324</v>
      </c>
      <c r="I656" s="41">
        <f t="shared" si="17"/>
        <v>0</v>
      </c>
      <c r="J656" s="17"/>
      <c r="K656" s="17"/>
    </row>
    <row r="657" spans="1:11" ht="12.95" customHeight="1">
      <c r="A657" s="77"/>
      <c r="B657" s="51" t="s">
        <v>303</v>
      </c>
      <c r="C657" s="37"/>
      <c r="D657" s="37" t="s">
        <v>304</v>
      </c>
      <c r="E657" s="38">
        <v>1103</v>
      </c>
      <c r="F657" s="39"/>
      <c r="G657" s="43">
        <v>3</v>
      </c>
      <c r="H657" s="53">
        <f>(35.4*Tabelle10[[#This Row],[ca. Anzahl
Titel pro Jahr]])</f>
        <v>106.19999999999999</v>
      </c>
      <c r="I657" s="41">
        <f t="shared" si="17"/>
        <v>0</v>
      </c>
      <c r="J657" s="17"/>
      <c r="K657" s="17"/>
    </row>
    <row r="658" spans="1:11" ht="12.95" customHeight="1">
      <c r="A658" s="77"/>
      <c r="B658" s="62" t="s">
        <v>980</v>
      </c>
      <c r="C658" s="37"/>
      <c r="D658" s="54" t="s">
        <v>981</v>
      </c>
      <c r="E658" s="38">
        <v>5656</v>
      </c>
      <c r="F658" s="39"/>
      <c r="G658" s="43">
        <v>4</v>
      </c>
      <c r="H658" s="53">
        <v>119.6</v>
      </c>
      <c r="I658" s="41">
        <f>A658*H658</f>
        <v>0</v>
      </c>
      <c r="J658" s="17"/>
      <c r="K658" s="17"/>
    </row>
    <row r="659" spans="1:11" ht="12.95" customHeight="1">
      <c r="A659" s="77"/>
      <c r="B659" s="51" t="s">
        <v>305</v>
      </c>
      <c r="C659" s="37"/>
      <c r="D659" s="37" t="s">
        <v>306</v>
      </c>
      <c r="E659" s="38">
        <v>737</v>
      </c>
      <c r="F659" s="39"/>
      <c r="G659" s="43">
        <v>14</v>
      </c>
      <c r="H659" s="53">
        <f>(26.9*Tabelle10[[#This Row],[ca. Anzahl
Titel pro Jahr]])</f>
        <v>376.59999999999997</v>
      </c>
      <c r="I659" s="41">
        <f t="shared" si="17"/>
        <v>0</v>
      </c>
      <c r="J659" s="17"/>
      <c r="K659" s="17"/>
    </row>
    <row r="660" spans="1:11" ht="12.95" customHeight="1">
      <c r="A660" s="77"/>
      <c r="B660" s="62" t="s">
        <v>307</v>
      </c>
      <c r="C660" s="37"/>
      <c r="D660" s="37" t="s">
        <v>288</v>
      </c>
      <c r="E660" s="38">
        <v>423</v>
      </c>
      <c r="F660" s="39"/>
      <c r="G660" s="43">
        <v>6</v>
      </c>
      <c r="H660" s="53">
        <f>(22.9*Tabelle10[[#This Row],[ca. Anzahl
Titel pro Jahr]])</f>
        <v>137.39999999999998</v>
      </c>
      <c r="I660" s="41">
        <f t="shared" si="17"/>
        <v>0</v>
      </c>
      <c r="J660" s="17"/>
      <c r="K660" s="17"/>
    </row>
    <row r="661" spans="1:11" ht="12.95" customHeight="1">
      <c r="A661" s="77"/>
      <c r="B661" s="62" t="s">
        <v>308</v>
      </c>
      <c r="C661" s="37"/>
      <c r="D661" s="37" t="s">
        <v>288</v>
      </c>
      <c r="E661" s="38">
        <v>2753</v>
      </c>
      <c r="F661" s="39"/>
      <c r="G661" s="43">
        <v>1</v>
      </c>
      <c r="H661" s="53">
        <v>27.9</v>
      </c>
      <c r="I661" s="41">
        <f t="shared" si="17"/>
        <v>0</v>
      </c>
      <c r="J661" s="17"/>
      <c r="K661" s="17"/>
    </row>
    <row r="662" spans="1:11" ht="12.95" customHeight="1">
      <c r="A662" s="77"/>
      <c r="B662" s="62" t="s">
        <v>309</v>
      </c>
      <c r="C662" s="37"/>
      <c r="D662" s="37" t="s">
        <v>288</v>
      </c>
      <c r="E662" s="38">
        <v>2754</v>
      </c>
      <c r="F662" s="39"/>
      <c r="G662" s="43">
        <v>2</v>
      </c>
      <c r="H662" s="53">
        <f>(22.9*Tabelle10[[#This Row],[ca. Anzahl
Titel pro Jahr]])</f>
        <v>45.8</v>
      </c>
      <c r="I662" s="41">
        <f t="shared" si="17"/>
        <v>0</v>
      </c>
      <c r="J662" s="17"/>
      <c r="K662" s="17"/>
    </row>
    <row r="663" spans="1:11" ht="12.95" customHeight="1">
      <c r="A663" s="77"/>
      <c r="B663" s="62" t="s">
        <v>310</v>
      </c>
      <c r="C663" s="37"/>
      <c r="D663" s="37" t="s">
        <v>288</v>
      </c>
      <c r="E663" s="38">
        <v>420</v>
      </c>
      <c r="F663" s="39"/>
      <c r="G663" s="43">
        <v>14</v>
      </c>
      <c r="H663" s="53">
        <v>483</v>
      </c>
      <c r="I663" s="41">
        <f t="shared" si="17"/>
        <v>0</v>
      </c>
      <c r="J663" s="17"/>
      <c r="K663" s="17"/>
    </row>
    <row r="664" spans="1:11" ht="21" customHeight="1">
      <c r="A664" s="77"/>
      <c r="B664" s="62" t="s">
        <v>311</v>
      </c>
      <c r="C664" s="37"/>
      <c r="D664" s="37" t="s">
        <v>288</v>
      </c>
      <c r="E664" s="38">
        <v>4285</v>
      </c>
      <c r="F664" s="39"/>
      <c r="G664" s="43">
        <v>7</v>
      </c>
      <c r="H664" s="53">
        <v>258.3</v>
      </c>
      <c r="I664" s="41">
        <f t="shared" si="17"/>
        <v>0</v>
      </c>
      <c r="J664" s="17"/>
      <c r="K664" s="17"/>
    </row>
    <row r="665" spans="1:11" ht="12.95" customHeight="1">
      <c r="A665" s="77"/>
      <c r="B665" s="62" t="s">
        <v>312</v>
      </c>
      <c r="C665" s="37"/>
      <c r="D665" s="37" t="s">
        <v>313</v>
      </c>
      <c r="E665" s="38">
        <v>1101</v>
      </c>
      <c r="F665" s="39"/>
      <c r="G665" s="43">
        <v>96</v>
      </c>
      <c r="H665" s="53">
        <f>(25.9*Tabelle10[[#This Row],[ca. Anzahl
Titel pro Jahr]])</f>
        <v>2486.3999999999996</v>
      </c>
      <c r="I665" s="41">
        <f t="shared" si="17"/>
        <v>0</v>
      </c>
      <c r="J665" s="17"/>
      <c r="K665" s="17"/>
    </row>
    <row r="666" spans="1:11" ht="12.95" customHeight="1">
      <c r="A666" s="77"/>
      <c r="B666" s="51" t="s">
        <v>314</v>
      </c>
      <c r="C666" s="37"/>
      <c r="D666" s="37" t="s">
        <v>283</v>
      </c>
      <c r="E666" s="38">
        <v>427</v>
      </c>
      <c r="F666" s="39" t="s">
        <v>403</v>
      </c>
      <c r="G666" s="43">
        <v>2</v>
      </c>
      <c r="H666" s="53">
        <f>(34.4*Tabelle10[[#This Row],[ca. Anzahl
Titel pro Jahr]])</f>
        <v>68.8</v>
      </c>
      <c r="I666" s="41">
        <f t="shared" si="17"/>
        <v>0</v>
      </c>
      <c r="J666" s="17"/>
      <c r="K666" s="17"/>
    </row>
    <row r="667" spans="1:11" ht="12.95" customHeight="1">
      <c r="A667" s="77"/>
      <c r="B667" s="51" t="s">
        <v>477</v>
      </c>
      <c r="C667" s="37"/>
      <c r="D667" s="37" t="s">
        <v>478</v>
      </c>
      <c r="E667" s="38">
        <v>5456</v>
      </c>
      <c r="F667" s="39"/>
      <c r="G667" s="43">
        <v>2</v>
      </c>
      <c r="H667" s="53">
        <f>(17.7*Tabelle10[[#This Row],[ca. Anzahl
Titel pro Jahr]])</f>
        <v>35.4</v>
      </c>
      <c r="I667" s="41">
        <f t="shared" si="17"/>
        <v>0</v>
      </c>
      <c r="J667" s="17"/>
      <c r="K667" s="17"/>
    </row>
    <row r="668" spans="1:11" ht="12.95" customHeight="1">
      <c r="A668" s="77"/>
      <c r="B668" s="62" t="s">
        <v>315</v>
      </c>
      <c r="C668" s="37"/>
      <c r="D668" s="37" t="s">
        <v>278</v>
      </c>
      <c r="E668" s="38">
        <v>2388</v>
      </c>
      <c r="F668" s="39"/>
      <c r="G668" s="43">
        <v>6</v>
      </c>
      <c r="H668" s="53">
        <v>221.4</v>
      </c>
      <c r="I668" s="41">
        <f t="shared" si="17"/>
        <v>0</v>
      </c>
      <c r="J668" s="17"/>
      <c r="K668" s="17"/>
    </row>
    <row r="669" spans="1:11" ht="12.95" customHeight="1">
      <c r="A669" s="77"/>
      <c r="B669" s="62" t="s">
        <v>316</v>
      </c>
      <c r="C669" s="37"/>
      <c r="D669" s="37" t="s">
        <v>317</v>
      </c>
      <c r="E669" s="38">
        <v>2210</v>
      </c>
      <c r="F669" s="39"/>
      <c r="G669" s="43">
        <v>32</v>
      </c>
      <c r="H669" s="53">
        <f>(31.4*Tabelle10[[#This Row],[ca. Anzahl
Titel pro Jahr]])</f>
        <v>1004.8</v>
      </c>
      <c r="I669" s="41">
        <f t="shared" si="17"/>
        <v>0</v>
      </c>
      <c r="J669" s="17"/>
      <c r="K669" s="17"/>
    </row>
    <row r="670" spans="1:11" ht="12.95" customHeight="1">
      <c r="A670" s="77"/>
      <c r="B670" s="62" t="s">
        <v>387</v>
      </c>
      <c r="C670" s="37"/>
      <c r="D670" s="37" t="s">
        <v>388</v>
      </c>
      <c r="E670" s="38">
        <v>5257</v>
      </c>
      <c r="F670" s="39"/>
      <c r="G670" s="43">
        <v>1</v>
      </c>
      <c r="H670" s="53">
        <f>(28.3*Tabelle10[[#This Row],[ca. Anzahl
Titel pro Jahr]])</f>
        <v>28.3</v>
      </c>
      <c r="I670" s="41">
        <f t="shared" si="17"/>
        <v>0</v>
      </c>
      <c r="J670" s="17"/>
      <c r="K670" s="17"/>
    </row>
    <row r="671" spans="1:11" ht="12.95" customHeight="1">
      <c r="A671" s="77"/>
      <c r="B671" s="62" t="s">
        <v>318</v>
      </c>
      <c r="C671" s="37"/>
      <c r="D671" s="37" t="s">
        <v>319</v>
      </c>
      <c r="E671" s="38">
        <v>4283</v>
      </c>
      <c r="F671" s="39"/>
      <c r="G671" s="43">
        <v>15</v>
      </c>
      <c r="H671" s="53">
        <f>(40.9*Tabelle10[[#This Row],[ca. Anzahl
Titel pro Jahr]])</f>
        <v>613.5</v>
      </c>
      <c r="I671" s="41">
        <f t="shared" si="17"/>
        <v>0</v>
      </c>
      <c r="J671" s="17"/>
      <c r="K671" s="17"/>
    </row>
    <row r="672" spans="1:11" ht="12.95" customHeight="1">
      <c r="A672" s="77"/>
      <c r="B672" s="62" t="s">
        <v>320</v>
      </c>
      <c r="C672" s="37"/>
      <c r="D672" s="37" t="s">
        <v>321</v>
      </c>
      <c r="E672" s="38">
        <v>2390</v>
      </c>
      <c r="F672" s="39"/>
      <c r="G672" s="43">
        <v>1</v>
      </c>
      <c r="H672" s="53">
        <v>40.9</v>
      </c>
      <c r="I672" s="41">
        <f t="shared" si="17"/>
        <v>0</v>
      </c>
      <c r="J672" s="17"/>
      <c r="K672" s="17"/>
    </row>
    <row r="673" spans="1:11" ht="12.95" customHeight="1">
      <c r="A673" s="77"/>
      <c r="B673" s="51" t="s">
        <v>322</v>
      </c>
      <c r="C673" s="37"/>
      <c r="D673" s="37" t="s">
        <v>323</v>
      </c>
      <c r="E673" s="38">
        <v>563</v>
      </c>
      <c r="F673" s="39"/>
      <c r="G673" s="43">
        <v>3</v>
      </c>
      <c r="H673" s="53">
        <v>87</v>
      </c>
      <c r="I673" s="41">
        <f t="shared" si="17"/>
        <v>0</v>
      </c>
      <c r="J673" s="17"/>
      <c r="K673" s="17"/>
    </row>
    <row r="674" spans="1:11" ht="12.95" customHeight="1">
      <c r="A674" s="78"/>
      <c r="B674" s="66" t="s">
        <v>324</v>
      </c>
      <c r="C674" s="36"/>
      <c r="D674" s="56" t="s">
        <v>319</v>
      </c>
      <c r="E674" s="46">
        <v>2211</v>
      </c>
      <c r="F674" s="50"/>
      <c r="G674" s="47">
        <v>7</v>
      </c>
      <c r="H674" s="53">
        <v>241.5</v>
      </c>
      <c r="I674" s="48">
        <f t="shared" si="17"/>
        <v>0</v>
      </c>
      <c r="J674" s="49"/>
      <c r="K674" s="49"/>
    </row>
    <row r="675" spans="1:11" ht="12.95" customHeight="1"/>
    <row r="676" spans="1:11" ht="13.5" customHeight="1">
      <c r="A676" s="28"/>
      <c r="H676" s="71" t="s">
        <v>346</v>
      </c>
      <c r="I676" s="35">
        <f>SUM(I622:I674)</f>
        <v>0</v>
      </c>
    </row>
    <row r="677" spans="1:11" ht="13.5" customHeight="1">
      <c r="A677" s="28"/>
    </row>
    <row r="678" spans="1:11" ht="13.5" customHeight="1">
      <c r="A678" s="28"/>
    </row>
    <row r="679" spans="1:11" ht="13.5" customHeight="1">
      <c r="A679" s="28"/>
    </row>
    <row r="680" spans="1:11" ht="13.5" customHeight="1">
      <c r="A680" s="28"/>
    </row>
    <row r="681" spans="1:11" ht="13.5" customHeight="1">
      <c r="A681" s="28"/>
    </row>
    <row r="682" spans="1:11" ht="13.5" customHeight="1">
      <c r="A682" s="28"/>
    </row>
    <row r="683" spans="1:11" ht="13.5" customHeight="1">
      <c r="A683" s="28"/>
    </row>
    <row r="684" spans="1:11" ht="13.5" customHeight="1">
      <c r="A684" s="28"/>
    </row>
    <row r="685" spans="1:11" ht="13.5" customHeight="1">
      <c r="A685" s="28"/>
    </row>
    <row r="686" spans="1:11" ht="13.5" customHeight="1">
      <c r="A686" s="28"/>
    </row>
    <row r="687" spans="1:11" ht="13.5" customHeight="1">
      <c r="A687" s="28"/>
    </row>
    <row r="688" spans="1:11" ht="13.5" customHeight="1">
      <c r="A688" s="28"/>
    </row>
    <row r="689" spans="1:1" ht="13.5" customHeight="1">
      <c r="A689" s="28"/>
    </row>
    <row r="690" spans="1:1" ht="13.5" customHeight="1">
      <c r="A690" s="28"/>
    </row>
    <row r="691" spans="1:1" ht="13.5" customHeight="1">
      <c r="A691" s="28"/>
    </row>
    <row r="692" spans="1:1" ht="13.5" customHeight="1">
      <c r="A692" s="28"/>
    </row>
    <row r="693" spans="1:1" ht="13.5" customHeight="1">
      <c r="A693" s="28"/>
    </row>
    <row r="694" spans="1:1" ht="13.5" customHeight="1">
      <c r="A694" s="28"/>
    </row>
    <row r="695" spans="1:1" ht="13.5" customHeight="1">
      <c r="A695" s="28"/>
    </row>
    <row r="696" spans="1:1" ht="13.5" customHeight="1">
      <c r="A696" s="28"/>
    </row>
    <row r="697" spans="1:1" ht="13.5" customHeight="1">
      <c r="A697" s="28"/>
    </row>
    <row r="698" spans="1:1" ht="13.5" customHeight="1">
      <c r="A698" s="28"/>
    </row>
    <row r="699" spans="1:1" ht="13.5" customHeight="1">
      <c r="A699" s="28"/>
    </row>
    <row r="700" spans="1:1" ht="13.5" customHeight="1">
      <c r="A700" s="28"/>
    </row>
    <row r="701" spans="1:1" ht="13.5" customHeight="1">
      <c r="A701" s="28"/>
    </row>
    <row r="702" spans="1:1" ht="13.5" customHeight="1">
      <c r="A702" s="28"/>
    </row>
    <row r="703" spans="1:1" ht="13.5" customHeight="1">
      <c r="A703" s="28"/>
    </row>
    <row r="704" spans="1:1" ht="13.5" customHeight="1">
      <c r="A704" s="28"/>
    </row>
    <row r="705" spans="1:1" ht="13.5" customHeight="1">
      <c r="A705" s="28"/>
    </row>
    <row r="706" spans="1:1" ht="13.5" customHeight="1">
      <c r="A706" s="28"/>
    </row>
    <row r="707" spans="1:1" ht="13.5" customHeight="1">
      <c r="A707" s="28"/>
    </row>
    <row r="708" spans="1:1" ht="13.5" customHeight="1">
      <c r="A708" s="28"/>
    </row>
    <row r="709" spans="1:1" ht="13.5" customHeight="1">
      <c r="A709" s="28"/>
    </row>
    <row r="710" spans="1:1" ht="13.5" customHeight="1">
      <c r="A710" s="28"/>
    </row>
    <row r="711" spans="1:1" ht="13.5" customHeight="1">
      <c r="A711" s="28"/>
    </row>
    <row r="712" spans="1:1" ht="13.5" customHeight="1">
      <c r="A712" s="28"/>
    </row>
    <row r="713" spans="1:1" ht="13.5" customHeight="1">
      <c r="A713" s="28"/>
    </row>
    <row r="714" spans="1:1" ht="13.5" customHeight="1">
      <c r="A714" s="28"/>
    </row>
    <row r="715" spans="1:1" ht="13.5" customHeight="1">
      <c r="A715" s="28"/>
    </row>
    <row r="716" spans="1:1" ht="13.5" customHeight="1">
      <c r="A716" s="28"/>
    </row>
    <row r="717" spans="1:1" ht="13.5" customHeight="1">
      <c r="A717" s="28"/>
    </row>
    <row r="718" spans="1:1" ht="13.5" customHeight="1">
      <c r="A718" s="28"/>
    </row>
    <row r="719" spans="1:1" ht="13.5" customHeight="1">
      <c r="A719" s="28"/>
    </row>
    <row r="720" spans="1:1" ht="13.5" customHeight="1">
      <c r="A720" s="28"/>
    </row>
    <row r="721" spans="1:1" ht="13.5" customHeight="1">
      <c r="A721" s="28"/>
    </row>
    <row r="722" spans="1:1" ht="13.5" customHeight="1">
      <c r="A722" s="28"/>
    </row>
    <row r="723" spans="1:1" ht="13.5" customHeight="1">
      <c r="A723" s="28"/>
    </row>
    <row r="724" spans="1:1" ht="13.5" customHeight="1">
      <c r="A724" s="28"/>
    </row>
    <row r="725" spans="1:1" ht="13.5" customHeight="1">
      <c r="A725" s="28"/>
    </row>
    <row r="726" spans="1:1" ht="13.5" customHeight="1">
      <c r="A726" s="28"/>
    </row>
    <row r="727" spans="1:1" ht="13.5" customHeight="1">
      <c r="A727" s="28"/>
    </row>
    <row r="728" spans="1:1" ht="13.5" customHeight="1">
      <c r="A728" s="28"/>
    </row>
    <row r="729" spans="1:1" ht="13.5" customHeight="1">
      <c r="A729" s="28"/>
    </row>
    <row r="730" spans="1:1" ht="13.5" customHeight="1">
      <c r="A730" s="28"/>
    </row>
    <row r="731" spans="1:1" ht="13.5" customHeight="1">
      <c r="A731" s="28"/>
    </row>
    <row r="732" spans="1:1" ht="13.5" customHeight="1">
      <c r="A732" s="28"/>
    </row>
    <row r="733" spans="1:1" ht="13.5" customHeight="1">
      <c r="A733" s="28"/>
    </row>
    <row r="734" spans="1:1" ht="13.5" customHeight="1">
      <c r="A734" s="28"/>
    </row>
    <row r="735" spans="1:1" ht="13.5" customHeight="1">
      <c r="A735" s="28"/>
    </row>
    <row r="736" spans="1:1" ht="13.5" customHeight="1">
      <c r="A736" s="28"/>
    </row>
    <row r="737" spans="1:1" ht="13.5" customHeight="1">
      <c r="A737" s="28"/>
    </row>
    <row r="738" spans="1:1" ht="13.5" customHeight="1">
      <c r="A738" s="28"/>
    </row>
    <row r="739" spans="1:1" ht="13.5" customHeight="1">
      <c r="A739" s="28"/>
    </row>
    <row r="740" spans="1:1" ht="13.5" customHeight="1">
      <c r="A740" s="28"/>
    </row>
    <row r="741" spans="1:1" ht="13.5" customHeight="1">
      <c r="A741" s="28"/>
    </row>
    <row r="742" spans="1:1" ht="13.5" customHeight="1">
      <c r="A742" s="28"/>
    </row>
    <row r="743" spans="1:1" ht="13.5" customHeight="1">
      <c r="A743" s="28"/>
    </row>
    <row r="744" spans="1:1" ht="13.5" customHeight="1">
      <c r="A744" s="28"/>
    </row>
    <row r="745" spans="1:1" ht="13.5" customHeight="1">
      <c r="A745" s="28"/>
    </row>
    <row r="746" spans="1:1" ht="13.5" customHeight="1">
      <c r="A746" s="28"/>
    </row>
    <row r="747" spans="1:1" ht="13.5" customHeight="1">
      <c r="A747" s="28"/>
    </row>
    <row r="748" spans="1:1" ht="13.5" customHeight="1">
      <c r="A748" s="28"/>
    </row>
    <row r="749" spans="1:1" ht="13.5" customHeight="1">
      <c r="A749" s="28"/>
    </row>
    <row r="750" spans="1:1" ht="13.5" customHeight="1">
      <c r="A750" s="28"/>
    </row>
    <row r="751" spans="1:1" ht="13.5" customHeight="1">
      <c r="A751" s="28"/>
    </row>
    <row r="752" spans="1:1" ht="13.5" customHeight="1">
      <c r="A752" s="28"/>
    </row>
    <row r="753" spans="1:1" ht="13.5" customHeight="1">
      <c r="A753" s="28"/>
    </row>
    <row r="754" spans="1:1" ht="13.5" customHeight="1">
      <c r="A754" s="28"/>
    </row>
    <row r="755" spans="1:1" ht="13.5" customHeight="1">
      <c r="A755" s="28"/>
    </row>
    <row r="756" spans="1:1" ht="13.5" customHeight="1">
      <c r="A756" s="28"/>
    </row>
    <row r="757" spans="1:1" ht="13.5" customHeight="1">
      <c r="A757" s="28"/>
    </row>
    <row r="758" spans="1:1" ht="13.5" customHeight="1">
      <c r="A758" s="28"/>
    </row>
    <row r="759" spans="1:1" ht="13.5" customHeight="1">
      <c r="A759" s="28"/>
    </row>
    <row r="760" spans="1:1" ht="13.5" customHeight="1">
      <c r="A760" s="28"/>
    </row>
    <row r="761" spans="1:1" ht="13.5" customHeight="1">
      <c r="A761" s="28"/>
    </row>
    <row r="762" spans="1:1" ht="13.5" customHeight="1">
      <c r="A762" s="28"/>
    </row>
    <row r="763" spans="1:1" ht="13.5" customHeight="1">
      <c r="A763" s="28"/>
    </row>
    <row r="764" spans="1:1" ht="13.5" customHeight="1">
      <c r="A764" s="28"/>
    </row>
    <row r="765" spans="1:1" ht="13.5" customHeight="1">
      <c r="A765" s="28"/>
    </row>
    <row r="766" spans="1:1" ht="13.5" customHeight="1">
      <c r="A766" s="28"/>
    </row>
    <row r="767" spans="1:1" ht="13.5" customHeight="1">
      <c r="A767" s="28"/>
    </row>
    <row r="768" spans="1:1" ht="13.5" customHeight="1">
      <c r="A768" s="28"/>
    </row>
    <row r="769" spans="1:1" ht="13.5" customHeight="1">
      <c r="A769" s="28"/>
    </row>
    <row r="770" spans="1:1" ht="13.5" customHeight="1">
      <c r="A770" s="28"/>
    </row>
    <row r="771" spans="1:1" ht="13.5" customHeight="1">
      <c r="A771" s="28"/>
    </row>
    <row r="772" spans="1:1" ht="13.5" customHeight="1">
      <c r="A772" s="28"/>
    </row>
    <row r="773" spans="1:1" ht="13.5" customHeight="1">
      <c r="A773" s="28"/>
    </row>
    <row r="774" spans="1:1" ht="13.5" customHeight="1">
      <c r="A774" s="28"/>
    </row>
    <row r="775" spans="1:1" ht="13.5" customHeight="1">
      <c r="A775" s="28"/>
    </row>
    <row r="776" spans="1:1" ht="13.5" customHeight="1">
      <c r="A776" s="28"/>
    </row>
    <row r="777" spans="1:1" ht="13.5" customHeight="1">
      <c r="A777" s="28"/>
    </row>
    <row r="778" spans="1:1" ht="13.5" customHeight="1">
      <c r="A778" s="28"/>
    </row>
    <row r="779" spans="1:1" ht="13.5" customHeight="1">
      <c r="A779" s="28"/>
    </row>
    <row r="780" spans="1:1" ht="13.5" customHeight="1">
      <c r="A780" s="28"/>
    </row>
    <row r="781" spans="1:1" ht="13.5" customHeight="1">
      <c r="A781" s="28"/>
    </row>
    <row r="782" spans="1:1" ht="13.5" customHeight="1">
      <c r="A782" s="28"/>
    </row>
    <row r="783" spans="1:1" ht="13.5" customHeight="1">
      <c r="A783" s="28"/>
    </row>
    <row r="784" spans="1:1" ht="13.5" customHeight="1">
      <c r="A784" s="28"/>
    </row>
    <row r="785" spans="1:1" ht="13.5" customHeight="1">
      <c r="A785" s="28"/>
    </row>
    <row r="786" spans="1:1" ht="13.5" customHeight="1">
      <c r="A786" s="28"/>
    </row>
    <row r="787" spans="1:1" ht="13.5" customHeight="1">
      <c r="A787" s="28"/>
    </row>
    <row r="788" spans="1:1" ht="13.5" customHeight="1">
      <c r="A788" s="28"/>
    </row>
    <row r="789" spans="1:1" ht="13.5" customHeight="1">
      <c r="A789" s="28"/>
    </row>
    <row r="790" spans="1:1" ht="13.5" customHeight="1">
      <c r="A790" s="28"/>
    </row>
    <row r="791" spans="1:1" ht="13.5" customHeight="1">
      <c r="A791" s="28"/>
    </row>
    <row r="792" spans="1:1" ht="13.5" customHeight="1">
      <c r="A792" s="28"/>
    </row>
    <row r="793" spans="1:1" ht="13.5" customHeight="1">
      <c r="A793" s="28"/>
    </row>
    <row r="794" spans="1:1" ht="13.5" customHeight="1">
      <c r="A794" s="28"/>
    </row>
    <row r="795" spans="1:1" ht="13.5" customHeight="1">
      <c r="A795" s="28"/>
    </row>
    <row r="796" spans="1:1" ht="13.5" customHeight="1">
      <c r="A796" s="28"/>
    </row>
    <row r="797" spans="1:1" ht="13.5" customHeight="1">
      <c r="A797" s="28"/>
    </row>
    <row r="798" spans="1:1" ht="13.5" customHeight="1">
      <c r="A798" s="28"/>
    </row>
    <row r="799" spans="1:1" ht="13.5" customHeight="1">
      <c r="A799" s="28"/>
    </row>
    <row r="800" spans="1:1" ht="13.5" customHeight="1">
      <c r="A800" s="28"/>
    </row>
    <row r="801" spans="1:1" ht="13.5" customHeight="1">
      <c r="A801" s="28"/>
    </row>
    <row r="802" spans="1:1" ht="13.5" customHeight="1">
      <c r="A802" s="28"/>
    </row>
    <row r="803" spans="1:1" ht="13.5" customHeight="1">
      <c r="A803" s="28"/>
    </row>
    <row r="804" spans="1:1" ht="13.5" customHeight="1">
      <c r="A804" s="28"/>
    </row>
    <row r="805" spans="1:1" ht="13.5" customHeight="1">
      <c r="A805" s="28"/>
    </row>
    <row r="806" spans="1:1" ht="13.5" customHeight="1">
      <c r="A806" s="28"/>
    </row>
    <row r="807" spans="1:1" ht="13.5" customHeight="1">
      <c r="A807" s="28"/>
    </row>
    <row r="808" spans="1:1" ht="13.5" customHeight="1">
      <c r="A808" s="28"/>
    </row>
    <row r="809" spans="1:1" ht="13.5" customHeight="1">
      <c r="A809" s="28"/>
    </row>
    <row r="810" spans="1:1" ht="13.5" customHeight="1">
      <c r="A810" s="28"/>
    </row>
    <row r="811" spans="1:1" ht="13.5" customHeight="1">
      <c r="A811" s="28"/>
    </row>
    <row r="812" spans="1:1" ht="13.5" customHeight="1">
      <c r="A812" s="28"/>
    </row>
    <row r="813" spans="1:1" ht="13.5" customHeight="1">
      <c r="A813" s="28"/>
    </row>
    <row r="814" spans="1:1" ht="13.5" customHeight="1">
      <c r="A814" s="28"/>
    </row>
    <row r="815" spans="1:1" ht="13.5" customHeight="1">
      <c r="A815" s="28"/>
    </row>
    <row r="816" spans="1:1" ht="13.5" customHeight="1">
      <c r="A816" s="28"/>
    </row>
    <row r="817" spans="1:1" ht="13.5" customHeight="1">
      <c r="A817" s="28"/>
    </row>
    <row r="818" spans="1:1" ht="13.5" customHeight="1">
      <c r="A818" s="28"/>
    </row>
    <row r="819" spans="1:1" ht="13.5" customHeight="1">
      <c r="A819" s="28"/>
    </row>
    <row r="820" spans="1:1" ht="13.5" customHeight="1">
      <c r="A820" s="28"/>
    </row>
    <row r="821" spans="1:1" ht="13.5" customHeight="1">
      <c r="A821" s="28"/>
    </row>
    <row r="822" spans="1:1" ht="13.5" customHeight="1">
      <c r="A822" s="28"/>
    </row>
    <row r="823" spans="1:1" ht="13.5" customHeight="1">
      <c r="A823" s="28"/>
    </row>
    <row r="824" spans="1:1" ht="13.5" customHeight="1">
      <c r="A824" s="28"/>
    </row>
    <row r="825" spans="1:1" ht="13.5" customHeight="1">
      <c r="A825" s="28"/>
    </row>
    <row r="826" spans="1:1" ht="13.5" customHeight="1">
      <c r="A826" s="28"/>
    </row>
    <row r="827" spans="1:1" ht="13.5" customHeight="1">
      <c r="A827" s="28"/>
    </row>
    <row r="828" spans="1:1" ht="13.5" customHeight="1">
      <c r="A828" s="28"/>
    </row>
    <row r="829" spans="1:1" ht="13.5" customHeight="1">
      <c r="A829" s="28"/>
    </row>
    <row r="830" spans="1:1" ht="13.5" customHeight="1">
      <c r="A830" s="28"/>
    </row>
    <row r="831" spans="1:1" ht="13.5" customHeight="1">
      <c r="A831" s="28"/>
    </row>
    <row r="832" spans="1:1" ht="13.5" customHeight="1">
      <c r="A832" s="28"/>
    </row>
    <row r="833" spans="1:1" ht="13.5" customHeight="1">
      <c r="A833" s="28"/>
    </row>
    <row r="834" spans="1:1" ht="13.5" customHeight="1">
      <c r="A834" s="28"/>
    </row>
    <row r="835" spans="1:1" ht="13.5" customHeight="1">
      <c r="A835" s="28"/>
    </row>
    <row r="836" spans="1:1" ht="13.5" customHeight="1">
      <c r="A836" s="28"/>
    </row>
    <row r="837" spans="1:1" ht="13.5" customHeight="1">
      <c r="A837" s="28"/>
    </row>
    <row r="838" spans="1:1" ht="13.5" customHeight="1">
      <c r="A838" s="28"/>
    </row>
    <row r="839" spans="1:1" ht="13.5" customHeight="1">
      <c r="A839" s="28"/>
    </row>
    <row r="840" spans="1:1" ht="13.5" customHeight="1">
      <c r="A840" s="28"/>
    </row>
    <row r="841" spans="1:1" ht="13.5" customHeight="1">
      <c r="A841" s="28"/>
    </row>
    <row r="842" spans="1:1" ht="13.5" customHeight="1">
      <c r="A842" s="28"/>
    </row>
    <row r="843" spans="1:1" ht="13.5" customHeight="1">
      <c r="A843" s="28"/>
    </row>
    <row r="844" spans="1:1" ht="13.5" customHeight="1">
      <c r="A844" s="28"/>
    </row>
    <row r="845" spans="1:1" ht="13.5" customHeight="1">
      <c r="A845" s="28"/>
    </row>
    <row r="846" spans="1:1" ht="13.5" customHeight="1">
      <c r="A846" s="28"/>
    </row>
    <row r="847" spans="1:1" ht="13.5" customHeight="1">
      <c r="A847" s="28"/>
    </row>
    <row r="848" spans="1:1" ht="13.5" customHeight="1">
      <c r="A848" s="28"/>
    </row>
    <row r="849" spans="1:1" ht="13.5" customHeight="1">
      <c r="A849" s="28"/>
    </row>
    <row r="850" spans="1:1" ht="13.5" customHeight="1">
      <c r="A850" s="28"/>
    </row>
    <row r="851" spans="1:1" ht="13.5" customHeight="1">
      <c r="A851" s="28"/>
    </row>
    <row r="852" spans="1:1" ht="13.5" customHeight="1">
      <c r="A852" s="28"/>
    </row>
    <row r="853" spans="1:1" ht="13.5" customHeight="1">
      <c r="A853" s="28"/>
    </row>
    <row r="854" spans="1:1" ht="13.5" customHeight="1">
      <c r="A854" s="28"/>
    </row>
    <row r="855" spans="1:1" ht="13.5" customHeight="1">
      <c r="A855" s="28"/>
    </row>
    <row r="856" spans="1:1" ht="13.5" customHeight="1">
      <c r="A856" s="28"/>
    </row>
    <row r="857" spans="1:1" ht="13.5" customHeight="1">
      <c r="A857" s="28"/>
    </row>
    <row r="858" spans="1:1" ht="13.5" customHeight="1">
      <c r="A858" s="28"/>
    </row>
    <row r="859" spans="1:1" ht="13.5" customHeight="1">
      <c r="A859" s="28"/>
    </row>
    <row r="860" spans="1:1" ht="13.5" customHeight="1">
      <c r="A860" s="28"/>
    </row>
    <row r="861" spans="1:1" ht="13.5" customHeight="1">
      <c r="A861" s="28"/>
    </row>
    <row r="862" spans="1:1" ht="13.5" customHeight="1">
      <c r="A862" s="28"/>
    </row>
    <row r="863" spans="1:1" ht="13.5" customHeight="1">
      <c r="A863" s="28"/>
    </row>
    <row r="864" spans="1:1" ht="13.5" customHeight="1">
      <c r="A864" s="28"/>
    </row>
    <row r="865" spans="1:1" ht="13.5" customHeight="1">
      <c r="A865" s="28"/>
    </row>
    <row r="866" spans="1:1" ht="13.5" customHeight="1">
      <c r="A866" s="28"/>
    </row>
    <row r="867" spans="1:1" ht="13.5" customHeight="1">
      <c r="A867" s="28"/>
    </row>
    <row r="868" spans="1:1" ht="13.5" customHeight="1">
      <c r="A868" s="28"/>
    </row>
    <row r="869" spans="1:1" ht="13.5" customHeight="1">
      <c r="A869" s="28"/>
    </row>
    <row r="870" spans="1:1" ht="13.5" customHeight="1">
      <c r="A870" s="28"/>
    </row>
    <row r="871" spans="1:1" ht="13.5" customHeight="1">
      <c r="A871" s="28"/>
    </row>
    <row r="872" spans="1:1" ht="13.5" customHeight="1">
      <c r="A872" s="28"/>
    </row>
    <row r="873" spans="1:1" ht="13.5" customHeight="1">
      <c r="A873" s="28"/>
    </row>
    <row r="874" spans="1:1" ht="13.5" customHeight="1">
      <c r="A874" s="28"/>
    </row>
    <row r="875" spans="1:1" ht="13.5" customHeight="1">
      <c r="A875" s="28"/>
    </row>
    <row r="876" spans="1:1" ht="13.5" customHeight="1">
      <c r="A876" s="28"/>
    </row>
    <row r="877" spans="1:1" ht="13.5" customHeight="1">
      <c r="A877" s="28"/>
    </row>
    <row r="878" spans="1:1" ht="13.5" customHeight="1">
      <c r="A878" s="28"/>
    </row>
    <row r="879" spans="1:1" ht="13.5" customHeight="1">
      <c r="A879" s="28"/>
    </row>
    <row r="880" spans="1:1" ht="13.5" customHeight="1">
      <c r="A880" s="28"/>
    </row>
    <row r="881" spans="1:1" ht="13.5" customHeight="1">
      <c r="A881" s="28"/>
    </row>
    <row r="882" spans="1:1" ht="13.5" customHeight="1">
      <c r="A882" s="28"/>
    </row>
    <row r="883" spans="1:1" ht="13.5" customHeight="1">
      <c r="A883" s="28"/>
    </row>
    <row r="884" spans="1:1" ht="13.5" customHeight="1">
      <c r="A884" s="28"/>
    </row>
    <row r="885" spans="1:1" ht="13.5" customHeight="1">
      <c r="A885" s="28"/>
    </row>
    <row r="886" spans="1:1" ht="13.5" customHeight="1">
      <c r="A886" s="28"/>
    </row>
    <row r="887" spans="1:1" ht="13.5" customHeight="1">
      <c r="A887" s="28"/>
    </row>
    <row r="888" spans="1:1" ht="13.5" customHeight="1">
      <c r="A888" s="28"/>
    </row>
    <row r="889" spans="1:1" ht="13.5" customHeight="1">
      <c r="A889" s="28"/>
    </row>
    <row r="890" spans="1:1" ht="13.5" customHeight="1">
      <c r="A890" s="28"/>
    </row>
    <row r="891" spans="1:1" ht="13.5" customHeight="1">
      <c r="A891" s="28"/>
    </row>
    <row r="892" spans="1:1" ht="13.5" customHeight="1">
      <c r="A892" s="28"/>
    </row>
    <row r="893" spans="1:1" ht="13.5" customHeight="1">
      <c r="A893" s="28"/>
    </row>
    <row r="894" spans="1:1" ht="13.5" customHeight="1">
      <c r="A894" s="28"/>
    </row>
    <row r="895" spans="1:1" ht="13.5" customHeight="1">
      <c r="A895" s="28"/>
    </row>
    <row r="896" spans="1:1" ht="13.5" customHeight="1">
      <c r="A896" s="28"/>
    </row>
    <row r="897" spans="1:1" ht="13.5" customHeight="1">
      <c r="A897" s="28"/>
    </row>
    <row r="898" spans="1:1" ht="13.5" customHeight="1">
      <c r="A898" s="28"/>
    </row>
    <row r="899" spans="1:1" ht="13.5" customHeight="1">
      <c r="A899" s="28"/>
    </row>
    <row r="900" spans="1:1" ht="13.5" customHeight="1">
      <c r="A900" s="28"/>
    </row>
    <row r="901" spans="1:1" ht="13.5" customHeight="1">
      <c r="A901" s="28"/>
    </row>
    <row r="902" spans="1:1" ht="13.5" customHeight="1">
      <c r="A902" s="28"/>
    </row>
    <row r="903" spans="1:1" ht="13.5" customHeight="1">
      <c r="A903" s="28"/>
    </row>
    <row r="904" spans="1:1" ht="13.5" customHeight="1">
      <c r="A904" s="28"/>
    </row>
    <row r="905" spans="1:1" ht="13.5" customHeight="1">
      <c r="A905" s="28"/>
    </row>
    <row r="906" spans="1:1" ht="13.5" customHeight="1">
      <c r="A906" s="28"/>
    </row>
    <row r="907" spans="1:1" ht="13.5" customHeight="1">
      <c r="A907" s="28"/>
    </row>
    <row r="908" spans="1:1" ht="13.5" customHeight="1">
      <c r="A908" s="28"/>
    </row>
    <row r="909" spans="1:1" ht="13.5" customHeight="1">
      <c r="A909" s="28"/>
    </row>
    <row r="910" spans="1:1" ht="13.5" customHeight="1">
      <c r="A910" s="28"/>
    </row>
    <row r="911" spans="1:1" ht="13.5" customHeight="1">
      <c r="A911" s="28"/>
    </row>
    <row r="912" spans="1:1" ht="13.5" customHeight="1">
      <c r="A912" s="28"/>
    </row>
    <row r="913" spans="1:1" ht="13.5" customHeight="1">
      <c r="A913" s="28"/>
    </row>
    <row r="914" spans="1:1" ht="13.5" customHeight="1">
      <c r="A914" s="28"/>
    </row>
    <row r="915" spans="1:1" ht="13.5" customHeight="1">
      <c r="A915" s="28"/>
    </row>
    <row r="916" spans="1:1" ht="13.5" customHeight="1">
      <c r="A916" s="28"/>
    </row>
    <row r="917" spans="1:1" ht="13.5" customHeight="1">
      <c r="A917" s="28"/>
    </row>
    <row r="918" spans="1:1" ht="13.5" customHeight="1">
      <c r="A918" s="28"/>
    </row>
    <row r="919" spans="1:1" ht="13.5" customHeight="1">
      <c r="A919" s="28"/>
    </row>
    <row r="920" spans="1:1" ht="13.5" customHeight="1">
      <c r="A920" s="28"/>
    </row>
    <row r="921" spans="1:1" ht="13.5" customHeight="1">
      <c r="A921" s="28"/>
    </row>
    <row r="922" spans="1:1" ht="13.5" customHeight="1">
      <c r="A922" s="28"/>
    </row>
    <row r="923" spans="1:1" ht="13.5" customHeight="1">
      <c r="A923" s="28"/>
    </row>
    <row r="924" spans="1:1" ht="13.5" customHeight="1">
      <c r="A924" s="28"/>
    </row>
    <row r="925" spans="1:1" ht="13.5" customHeight="1">
      <c r="A925" s="28"/>
    </row>
    <row r="926" spans="1:1" ht="13.5" customHeight="1">
      <c r="A926" s="28"/>
    </row>
    <row r="927" spans="1:1" ht="13.5" customHeight="1">
      <c r="A927" s="28"/>
    </row>
    <row r="928" spans="1:1" ht="13.5" customHeight="1">
      <c r="A928" s="28"/>
    </row>
    <row r="929" spans="1:1" ht="13.5" customHeight="1">
      <c r="A929" s="28"/>
    </row>
    <row r="930" spans="1:1" ht="13.5" customHeight="1">
      <c r="A930" s="28"/>
    </row>
    <row r="931" spans="1:1" ht="13.5" customHeight="1">
      <c r="A931" s="28"/>
    </row>
    <row r="932" spans="1:1" ht="13.5" customHeight="1">
      <c r="A932" s="28"/>
    </row>
    <row r="933" spans="1:1" ht="13.5" customHeight="1">
      <c r="A933" s="28"/>
    </row>
    <row r="934" spans="1:1" ht="13.5" customHeight="1">
      <c r="A934" s="28"/>
    </row>
    <row r="935" spans="1:1" ht="13.5" customHeight="1">
      <c r="A935" s="28"/>
    </row>
    <row r="936" spans="1:1" ht="13.5" customHeight="1">
      <c r="A936" s="28"/>
    </row>
    <row r="937" spans="1:1" ht="13.5" customHeight="1">
      <c r="A937" s="28"/>
    </row>
    <row r="938" spans="1:1" ht="13.5" customHeight="1">
      <c r="A938" s="28"/>
    </row>
    <row r="939" spans="1:1" ht="13.5" customHeight="1">
      <c r="A939" s="28"/>
    </row>
    <row r="940" spans="1:1" ht="13.5" customHeight="1">
      <c r="A940" s="28"/>
    </row>
    <row r="941" spans="1:1" ht="13.5" customHeight="1">
      <c r="A941" s="28"/>
    </row>
    <row r="942" spans="1:1" ht="13.5" customHeight="1">
      <c r="A942" s="28"/>
    </row>
    <row r="943" spans="1:1" ht="13.5" customHeight="1">
      <c r="A943" s="28"/>
    </row>
    <row r="944" spans="1:1" ht="13.5" customHeight="1">
      <c r="A944" s="28"/>
    </row>
    <row r="945" spans="1:1" ht="13.5" customHeight="1">
      <c r="A945" s="28"/>
    </row>
    <row r="946" spans="1:1" ht="13.5" customHeight="1">
      <c r="A946" s="28"/>
    </row>
  </sheetData>
  <sheetProtection algorithmName="SHA-512" hashValue="et2DJ3G2VoYYsyHchX6aA7C5lAm26DrP1GgkizgAf6/LTSgwPIch8ByB8jSsR/UyqiRA8JJBtdcgUX/1Faj8rg==" saltValue="sePAYIxYOEZtcV2QOfjq5A==" spinCount="100000" sheet="1" sort="0" autoFilter="0"/>
  <protectedRanges>
    <protectedRange sqref="A1:A308 A454:A1048576 A309:A453" name="Anzahl"/>
    <protectedRange sqref="A4:H5" name="Titel"/>
    <protectedRange sqref="J1:J308 J454:J1048576 J309:J453" name="Abo"/>
    <protectedRange sqref="K10:K308 K454:K769 K309:K453" name="Abo2"/>
  </protectedRanges>
  <mergeCells count="11">
    <mergeCell ref="A4:H4"/>
    <mergeCell ref="A5:H5"/>
    <mergeCell ref="A511:K511"/>
    <mergeCell ref="A523:K523"/>
    <mergeCell ref="A620:K620"/>
    <mergeCell ref="A7:K7"/>
    <mergeCell ref="A10:K10"/>
    <mergeCell ref="A268:K268"/>
    <mergeCell ref="A307:K307"/>
    <mergeCell ref="A459:K459"/>
    <mergeCell ref="A483:K483"/>
  </mergeCells>
  <phoneticPr fontId="3" type="noConversion"/>
  <pageMargins left="0.7" right="0.7" top="0.78740157499999996" bottom="0.78740157499999996" header="0.3" footer="0.3"/>
  <pageSetup paperSize="9" scale="74" orientation="landscape" r:id="rId1"/>
  <headerFooter>
    <oddHeader>&amp;R&amp;G</oddHeader>
  </headerFooter>
  <rowBreaks count="5" manualBreakCount="5">
    <brk id="265" max="16383" man="1"/>
    <brk id="305" max="16383" man="1"/>
    <brk id="457" max="16383" man="1"/>
    <brk id="481" max="16383" man="1"/>
    <brk id="521" max="16383" man="1"/>
  </rowBreaks>
  <ignoredErrors>
    <ignoredError sqref="H474" formula="1"/>
  </ignoredErrors>
  <drawing r:id="rId2"/>
  <legacyDrawingHF r:id="rId3"/>
  <tableParts count="8">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Bestellliste Buch</dc:title>
  <dc:creator>Eva von Allmen</dc:creator>
  <cp:lastModifiedBy>Nadja Boltshauser</cp:lastModifiedBy>
  <cp:lastPrinted>2022-12-08T09:21:22Z</cp:lastPrinted>
  <dcterms:created xsi:type="dcterms:W3CDTF">2021-10-26T06:26:39Z</dcterms:created>
  <dcterms:modified xsi:type="dcterms:W3CDTF">2026-04-15T15:41:29Z</dcterms:modified>
</cp:coreProperties>
</file>